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条件" sheetId="1" r:id="rId1"/>
    <sheet name="xy2bl" sheetId="2" r:id="rId2"/>
    <sheet name="bl2xy" sheetId="3" r:id="rId3"/>
    <sheet name="定数" sheetId="4" r:id="rId4"/>
    <sheet name="原点" sheetId="5" r:id="rId5"/>
  </sheets>
  <definedNames>
    <definedName name="a">'条件'!$D$13</definedName>
    <definedName name="a_jgd2k">'定数'!$C$4</definedName>
    <definedName name="a_tokyo">'定数'!$C$7</definedName>
    <definedName name="AA">'条件'!$D$31</definedName>
    <definedName name="B_0">'条件'!$D$30</definedName>
    <definedName name="B_1">'条件'!$D$21</definedName>
    <definedName name="B_2">'条件'!$D$22</definedName>
    <definedName name="B_3">'条件'!$D$23</definedName>
    <definedName name="B_4">'条件'!$D$24</definedName>
    <definedName name="B_5">'条件'!$D$25</definedName>
    <definedName name="B_6">'条件'!$D$26</definedName>
    <definedName name="B_7">'条件'!$D$27</definedName>
    <definedName name="B_8">'条件'!$D$28</definedName>
    <definedName name="B_9">'条件'!$D$29</definedName>
    <definedName name="BB">'条件'!$D$32</definedName>
    <definedName name="CC">'条件'!$D$33</definedName>
    <definedName name="DD">'条件'!$D$34</definedName>
    <definedName name="e">'条件'!$D$14</definedName>
    <definedName name="e_dash">'条件'!$D$15</definedName>
    <definedName name="e_dash_jgd2k">'定数'!$C$13</definedName>
    <definedName name="e_dash_Tokyo">'定数'!$C$16</definedName>
    <definedName name="e_jgd2k">'定数'!$C$12</definedName>
    <definedName name="e_Tokyo">'定数'!$C$15</definedName>
    <definedName name="EE">'条件'!$D$35</definedName>
    <definedName name="f_jgd2k">'定数'!$C$5</definedName>
    <definedName name="f_Tokyo">'定数'!$C$8</definedName>
    <definedName name="FF">'条件'!$D$36</definedName>
    <definedName name="GG">'条件'!$D$37</definedName>
    <definedName name="HH">'条件'!$D$38</definedName>
    <definedName name="II">'条件'!$D$39</definedName>
    <definedName name="m0">'原点'!$C$26</definedName>
    <definedName name="_xlnm.Print_Area" localSheetId="2">'bl2xy'!$A$1:$H$9</definedName>
    <definedName name="_xlnm.Print_Area" localSheetId="1">'xy2bl'!$A$1:$G$9</definedName>
    <definedName name="_xlnm.Print_Titles" localSheetId="2">'bl2xy'!$1:$4</definedName>
    <definedName name="_xlnm.Print_Titles" localSheetId="1">'xy2bl'!$1:$4</definedName>
    <definedName name="S0">'条件'!$D$20</definedName>
    <definedName name="λ0">'条件'!$D$18</definedName>
    <definedName name="φ0">'条件'!$D$17</definedName>
    <definedName name="原点">'原点'!$B$5:$L$23</definedName>
    <definedName name="座標系">'条件'!$D$7</definedName>
    <definedName name="測地系">'条件'!$D$5</definedName>
    <definedName name="測地系名">'条件'!$D$6</definedName>
    <definedName name="表示地名">'条件'!$D$10</definedName>
  </definedNames>
  <calcPr fullCalcOnLoad="1"/>
</workbook>
</file>

<file path=xl/sharedStrings.xml><?xml version="1.0" encoding="utf-8"?>
<sst xmlns="http://schemas.openxmlformats.org/spreadsheetml/2006/main" count="267" uniqueCount="164">
  <si>
    <t>φ0</t>
  </si>
  <si>
    <t>λ0</t>
  </si>
  <si>
    <t>λ</t>
  </si>
  <si>
    <t>γ</t>
  </si>
  <si>
    <t>φ1</t>
  </si>
  <si>
    <t>x</t>
  </si>
  <si>
    <t>y</t>
  </si>
  <si>
    <t>N1</t>
  </si>
  <si>
    <t>N</t>
  </si>
  <si>
    <t>M</t>
  </si>
  <si>
    <t>e'</t>
  </si>
  <si>
    <t>4.楕円体の原子、諸公式　及び定数</t>
  </si>
  <si>
    <t>(1)楕円体の原子</t>
  </si>
  <si>
    <t>①世界測地系</t>
  </si>
  <si>
    <t>a</t>
  </si>
  <si>
    <t>長半径(世界測地系)</t>
  </si>
  <si>
    <t>f</t>
  </si>
  <si>
    <t>扁平率(世界測地系)</t>
  </si>
  <si>
    <t>②日本測地系</t>
  </si>
  <si>
    <t>長半径(日本測地系)</t>
  </si>
  <si>
    <t>扁平率(日本測地系)</t>
  </si>
  <si>
    <t>(2)楕円対の諸公式　※固定的な数値のみ</t>
  </si>
  <si>
    <t>e</t>
  </si>
  <si>
    <t>第一離心率(世界測地系)</t>
  </si>
  <si>
    <t>第二離心率(世界測地系)</t>
  </si>
  <si>
    <t>第一離心率(日本測地系)</t>
  </si>
  <si>
    <t>第二離心率(日本測地系)</t>
  </si>
  <si>
    <t>系番号</t>
  </si>
  <si>
    <t>座標系原点の経緯度</t>
  </si>
  <si>
    <t>経度(東経)</t>
  </si>
  <si>
    <t>緯度(北緯)</t>
  </si>
  <si>
    <t>度</t>
  </si>
  <si>
    <t>′</t>
  </si>
  <si>
    <t>°</t>
  </si>
  <si>
    <t>″</t>
  </si>
  <si>
    <t>経度</t>
  </si>
  <si>
    <t>緯度</t>
  </si>
  <si>
    <t>rad</t>
  </si>
  <si>
    <t>座標軸のX軸上における縮尺係数</t>
  </si>
  <si>
    <t>m0=</t>
  </si>
  <si>
    <t>測地系</t>
  </si>
  <si>
    <t>座標系</t>
  </si>
  <si>
    <t>φ(n+1)</t>
  </si>
  <si>
    <t>φn</t>
  </si>
  <si>
    <t>分子</t>
  </si>
  <si>
    <t>分母</t>
  </si>
  <si>
    <t>S(φn)</t>
  </si>
  <si>
    <t>B2</t>
  </si>
  <si>
    <t>B3</t>
  </si>
  <si>
    <t>B4</t>
  </si>
  <si>
    <t>B5</t>
  </si>
  <si>
    <t>B6</t>
  </si>
  <si>
    <t>B7</t>
  </si>
  <si>
    <t>B8</t>
  </si>
  <si>
    <t>B9</t>
  </si>
  <si>
    <t>分</t>
  </si>
  <si>
    <t>秒</t>
  </si>
  <si>
    <t>残差</t>
  </si>
  <si>
    <t>2回目</t>
  </si>
  <si>
    <t>3回目</t>
  </si>
  <si>
    <t>4回目</t>
  </si>
  <si>
    <t>5回目</t>
  </si>
  <si>
    <t>6回目</t>
  </si>
  <si>
    <t>7回目</t>
  </si>
  <si>
    <t>8回目</t>
  </si>
  <si>
    <t>9回目</t>
  </si>
  <si>
    <t>10回目</t>
  </si>
  <si>
    <t>第1項</t>
  </si>
  <si>
    <t>第2項</t>
  </si>
  <si>
    <t>第3項</t>
  </si>
  <si>
    <t>第4項</t>
  </si>
  <si>
    <t>φ(緯度)計算</t>
  </si>
  <si>
    <t>λ(経度)計算</t>
  </si>
  <si>
    <t>η1</t>
  </si>
  <si>
    <t>t1</t>
  </si>
  <si>
    <t>y/m0</t>
  </si>
  <si>
    <t>m</t>
  </si>
  <si>
    <t>平面直角座標</t>
  </si>
  <si>
    <t>φ(n+1)繰り返し計算　1回目</t>
  </si>
  <si>
    <t>赤道からの子午線弧長</t>
  </si>
  <si>
    <t>標高</t>
  </si>
  <si>
    <t>_</t>
  </si>
  <si>
    <t>A</t>
  </si>
  <si>
    <t>Kash地名文字列</t>
  </si>
  <si>
    <t>換算結果</t>
  </si>
  <si>
    <t>Kash表記</t>
  </si>
  <si>
    <t>Kashmir用</t>
  </si>
  <si>
    <t>1=世界、2=日本</t>
  </si>
  <si>
    <t>第一離心率</t>
  </si>
  <si>
    <t>第二離心率</t>
  </si>
  <si>
    <t>測地系、座標系の選定</t>
  </si>
  <si>
    <t>※黄色セルに数値を入力</t>
  </si>
  <si>
    <t>点名</t>
  </si>
  <si>
    <t>1.平面直角座標x、yから経度、緯度(および子午線収差角)を求める計算</t>
  </si>
  <si>
    <t>Kashmir地名文字列作成条件</t>
  </si>
  <si>
    <t>1=点名　2=座標値</t>
  </si>
  <si>
    <t>No.1</t>
  </si>
  <si>
    <t>z</t>
  </si>
  <si>
    <t>※必要な点数だけ行ごとコピー・貼り付けして使用</t>
  </si>
  <si>
    <t>※黄色セルに値を入力</t>
  </si>
  <si>
    <t>※Kash地名ファイルをメモ帳等で開き、「Kash地名文字列」をコピー・貼り付け</t>
  </si>
  <si>
    <t>地名用データ</t>
  </si>
  <si>
    <t>※定数、告示のセル番地に名前を付けてあります。</t>
  </si>
  <si>
    <t>※計算式は国土地理院ホームページ「便利な計算プログラム」の計算式解説を参照</t>
  </si>
  <si>
    <t>長崎県、鹿児島県の一部</t>
  </si>
  <si>
    <t>福岡県、佐賀県、熊本県、大分県、宮崎県、鹿児島県</t>
  </si>
  <si>
    <t>適用区域(略記)</t>
  </si>
  <si>
    <t>山口県、島根県、広島県</t>
  </si>
  <si>
    <t>香川県、愛媛県、徳島県、高知県</t>
  </si>
  <si>
    <t>京都府、大阪府、福井県、滋賀県、三重県、奈良県、和歌山県</t>
  </si>
  <si>
    <t>石川県、富山県、岐阜県、愛知県</t>
  </si>
  <si>
    <t>新潟県、長野県、山梨県、静岡県</t>
  </si>
  <si>
    <t>兵庫県、鳥取県、岡山県</t>
  </si>
  <si>
    <t>東京都、福島県、栃木県、茨城県、埼玉県、千葉県、群馬県、神奈川県</t>
  </si>
  <si>
    <t>青森県、秋田県、山形県、岩手県、宮城県</t>
  </si>
  <si>
    <t>北海道西部</t>
  </si>
  <si>
    <t>北海道中央部</t>
  </si>
  <si>
    <t>北海道東部</t>
  </si>
  <si>
    <t>沖縄県中央部</t>
  </si>
  <si>
    <t>沖縄県西部</t>
  </si>
  <si>
    <t>沖縄県東部</t>
  </si>
  <si>
    <t>東京都(島嶼　南西部)</t>
  </si>
  <si>
    <t>東京都(島嶼　南東部)</t>
  </si>
  <si>
    <t>東京都(島嶼　北部)</t>
  </si>
  <si>
    <t>※原点</t>
  </si>
  <si>
    <t>※詳細は国土交通省告示第九号(→国土地理院HP)を参照</t>
  </si>
  <si>
    <t>平面直角座標系原点</t>
  </si>
  <si>
    <t>°</t>
  </si>
  <si>
    <t>2.緯度・経度から平面直角座標x、y(および子午線収差角)を求める計算</t>
  </si>
  <si>
    <t>φ</t>
  </si>
  <si>
    <t>λ</t>
  </si>
  <si>
    <t>座標系原点の緯度</t>
  </si>
  <si>
    <t>Δλ</t>
  </si>
  <si>
    <t>η</t>
  </si>
  <si>
    <t>S0</t>
  </si>
  <si>
    <t>Mx</t>
  </si>
  <si>
    <t>B1</t>
  </si>
  <si>
    <t>B</t>
  </si>
  <si>
    <t>C</t>
  </si>
  <si>
    <t>D</t>
  </si>
  <si>
    <t>E</t>
  </si>
  <si>
    <t>F</t>
  </si>
  <si>
    <t>G</t>
  </si>
  <si>
    <t>H</t>
  </si>
  <si>
    <t>I</t>
  </si>
  <si>
    <t>赤道から座標系原点までの子午線弧長</t>
  </si>
  <si>
    <t>座標系原点の経度</t>
  </si>
  <si>
    <t>測地系、座標系によって異なる定数の選定・計算　※定数参照</t>
  </si>
  <si>
    <t>S0の内訳(各点のS計算に使用)</t>
  </si>
  <si>
    <t>B0</t>
  </si>
  <si>
    <t>※a(1-e^2)</t>
  </si>
  <si>
    <t>S</t>
  </si>
  <si>
    <t>M</t>
  </si>
  <si>
    <t>t</t>
  </si>
  <si>
    <t>x</t>
  </si>
  <si>
    <t>y</t>
  </si>
  <si>
    <t>度表示</t>
  </si>
  <si>
    <t>ラジアン表示</t>
  </si>
  <si>
    <t>※GPSファイルをCSV 等で出力してエクセル等で開き、値を下表にコピー・貼り付け</t>
  </si>
  <si>
    <t>Kash表記(dd.mmssss)</t>
  </si>
  <si>
    <t>地球楕円体長半径</t>
  </si>
  <si>
    <t>換算条件</t>
  </si>
  <si>
    <t>■平面直角座標(x,y)←→経緯度換算、Kashmir用データ作成支援シート</t>
  </si>
  <si>
    <t>表示地名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</si>
</sst>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00_ "/>
    <numFmt numFmtId="179" formatCode="0.00000_ "/>
    <numFmt numFmtId="180" formatCode="0.000000_ 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\1/?"/>
    <numFmt numFmtId="187" formatCode="0.00000000_ "/>
    <numFmt numFmtId="188" formatCode="0.0000000_ "/>
    <numFmt numFmtId="189" formatCode="00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Fill="1" applyBorder="1" applyAlignment="1">
      <alignment/>
    </xf>
    <xf numFmtId="180" fontId="0" fillId="0" borderId="1" xfId="0" applyNumberFormat="1" applyBorder="1" applyAlignment="1">
      <alignment/>
    </xf>
    <xf numFmtId="178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180" fontId="0" fillId="4" borderId="1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4" borderId="14" xfId="0" applyFill="1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0" xfId="0" applyBorder="1" applyAlignment="1">
      <alignment horizontal="center"/>
    </xf>
    <xf numFmtId="180" fontId="0" fillId="0" borderId="4" xfId="0" applyNumberFormat="1" applyBorder="1" applyAlignment="1">
      <alignment/>
    </xf>
    <xf numFmtId="180" fontId="0" fillId="4" borderId="4" xfId="0" applyNumberFormat="1" applyFill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188" fontId="0" fillId="0" borderId="0" xfId="0" applyNumberFormat="1" applyAlignment="1">
      <alignment/>
    </xf>
    <xf numFmtId="189" fontId="0" fillId="0" borderId="18" xfId="0" applyNumberFormat="1" applyBorder="1" applyAlignment="1">
      <alignment/>
    </xf>
    <xf numFmtId="189" fontId="0" fillId="0" borderId="19" xfId="0" applyNumberFormat="1" applyBorder="1" applyAlignment="1">
      <alignment/>
    </xf>
    <xf numFmtId="189" fontId="0" fillId="4" borderId="18" xfId="0" applyNumberFormat="1" applyFill="1" applyBorder="1" applyAlignment="1">
      <alignment/>
    </xf>
    <xf numFmtId="189" fontId="0" fillId="4" borderId="19" xfId="0" applyNumberFormat="1" applyFill="1" applyBorder="1" applyAlignment="1">
      <alignment/>
    </xf>
    <xf numFmtId="176" fontId="0" fillId="3" borderId="1" xfId="0" applyNumberFormat="1" applyFill="1" applyBorder="1" applyAlignment="1">
      <alignment/>
    </xf>
    <xf numFmtId="187" fontId="0" fillId="2" borderId="1" xfId="0" applyNumberForma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textRotation="255"/>
    </xf>
    <xf numFmtId="0" fontId="0" fillId="0" borderId="20" xfId="0" applyBorder="1" applyAlignment="1">
      <alignment textRotation="255"/>
    </xf>
    <xf numFmtId="0" fontId="0" fillId="0" borderId="11" xfId="0" applyBorder="1" applyAlignment="1">
      <alignment textRotation="255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showGridLines="0" tabSelected="1" zoomScale="75" zoomScaleNormal="75" workbookViewId="0" topLeftCell="A1">
      <selection activeCell="E8" sqref="E8"/>
    </sheetView>
  </sheetViews>
  <sheetFormatPr defaultColWidth="9.00390625" defaultRowHeight="13.5"/>
  <cols>
    <col min="1" max="2" width="2.125" style="0" customWidth="1"/>
    <col min="3" max="3" width="7.125" style="0" bestFit="1" customWidth="1"/>
    <col min="4" max="4" width="12.75390625" style="0" bestFit="1" customWidth="1"/>
    <col min="5" max="5" width="35.125" style="0" bestFit="1" customWidth="1"/>
  </cols>
  <sheetData>
    <row r="1" ht="13.5">
      <c r="A1" t="s">
        <v>162</v>
      </c>
    </row>
    <row r="2" ht="13.5">
      <c r="A2" t="s">
        <v>161</v>
      </c>
    </row>
    <row r="3" ht="13.5">
      <c r="A3" t="s">
        <v>91</v>
      </c>
    </row>
    <row r="4" ht="13.5">
      <c r="B4" t="s">
        <v>90</v>
      </c>
    </row>
    <row r="5" spans="3:5" ht="13.5">
      <c r="C5" s="46" t="s">
        <v>40</v>
      </c>
      <c r="D5" s="10">
        <v>2</v>
      </c>
      <c r="E5" s="1" t="s">
        <v>87</v>
      </c>
    </row>
    <row r="6" spans="3:5" ht="13.5">
      <c r="C6" s="47"/>
      <c r="D6" s="14" t="str">
        <f>IF(測地系=1,"WGS84","Tokyo")</f>
        <v>Tokyo</v>
      </c>
      <c r="E6" s="1" t="s">
        <v>86</v>
      </c>
    </row>
    <row r="7" spans="3:5" ht="13.5">
      <c r="C7" s="1" t="s">
        <v>41</v>
      </c>
      <c r="D7" s="10">
        <v>9</v>
      </c>
      <c r="E7" s="1" t="s">
        <v>124</v>
      </c>
    </row>
    <row r="9" ht="13.5">
      <c r="B9" t="s">
        <v>94</v>
      </c>
    </row>
    <row r="10" spans="3:5" ht="13.5">
      <c r="C10" s="1" t="s">
        <v>163</v>
      </c>
      <c r="D10" s="10">
        <v>2</v>
      </c>
      <c r="E10" s="1" t="s">
        <v>95</v>
      </c>
    </row>
    <row r="12" ht="13.5">
      <c r="B12" t="s">
        <v>147</v>
      </c>
    </row>
    <row r="13" spans="3:5" ht="13.5">
      <c r="C13" s="1" t="s">
        <v>14</v>
      </c>
      <c r="D13" s="1">
        <f>IF(測地系=1,a_jgd2k,a_tokyo)</f>
        <v>6377397.155</v>
      </c>
      <c r="E13" s="1" t="s">
        <v>160</v>
      </c>
    </row>
    <row r="14" spans="3:5" ht="13.5">
      <c r="C14" s="1" t="s">
        <v>22</v>
      </c>
      <c r="D14" s="1">
        <f>IF(測地系=1,e_jgd2k,e_Tokyo)</f>
        <v>0.08169683119526383</v>
      </c>
      <c r="E14" s="1" t="s">
        <v>88</v>
      </c>
    </row>
    <row r="15" spans="3:5" ht="13.5">
      <c r="C15" s="1" t="s">
        <v>10</v>
      </c>
      <c r="D15" s="1">
        <f>IF(測地系=1,e_dash_jgd2k,e_dash_Tokyo)</f>
        <v>0.08197084112451197</v>
      </c>
      <c r="E15" s="1" t="s">
        <v>89</v>
      </c>
    </row>
    <row r="17" spans="3:5" ht="13.5">
      <c r="C17" s="1" t="s">
        <v>0</v>
      </c>
      <c r="D17" s="1">
        <f>VLOOKUP(座標系,原点,11)</f>
        <v>0.6283185307179586</v>
      </c>
      <c r="E17" s="1" t="s">
        <v>131</v>
      </c>
    </row>
    <row r="18" spans="3:5" ht="13.5">
      <c r="C18" s="1" t="s">
        <v>1</v>
      </c>
      <c r="D18" s="1">
        <f>VLOOKUP(座標系,原点,10)</f>
        <v>2.4405520707054045</v>
      </c>
      <c r="E18" s="1" t="s">
        <v>146</v>
      </c>
    </row>
    <row r="20" spans="3:5" ht="13.5">
      <c r="C20" s="1" t="s">
        <v>134</v>
      </c>
      <c r="D20" s="1">
        <f>(B_1*φ0)+(B_2*SIN(2*φ0))+(B_3*SIN(4*φ0))+(B_4*SIN(6*φ0))+(B_5*SIN(8*φ0))+(B_6*SIN(10*φ0))+(B_7*SIN(12*φ0))+(B_8*SIN(14*φ0))+(B_9*SIN(16*φ0))</f>
        <v>3985146.0533183594</v>
      </c>
      <c r="E20" s="1" t="s">
        <v>145</v>
      </c>
    </row>
    <row r="21" spans="3:5" ht="13.5">
      <c r="C21" s="12" t="s">
        <v>136</v>
      </c>
      <c r="D21" s="1">
        <f>B_0*AA</f>
        <v>6366742.520241163</v>
      </c>
      <c r="E21" s="5" t="s">
        <v>148</v>
      </c>
    </row>
    <row r="22" spans="3:5" ht="13.5">
      <c r="C22" s="12" t="s">
        <v>47</v>
      </c>
      <c r="D22" s="1">
        <f>B_0*(-BB/2)</f>
        <v>-15988.638523856858</v>
      </c>
      <c r="E22" s="37"/>
    </row>
    <row r="23" spans="3:5" ht="13.5">
      <c r="C23" s="12" t="s">
        <v>48</v>
      </c>
      <c r="D23" s="1">
        <f>B_0*(CC/4)</f>
        <v>16.729953881082622</v>
      </c>
      <c r="E23" s="37"/>
    </row>
    <row r="24" spans="3:5" ht="13.5">
      <c r="C24" s="12" t="s">
        <v>49</v>
      </c>
      <c r="D24" s="1">
        <f>B_0*(-DD/6)</f>
        <v>-0.021784800789666638</v>
      </c>
      <c r="E24" s="37"/>
    </row>
    <row r="25" spans="3:5" ht="13.5">
      <c r="C25" s="12" t="s">
        <v>50</v>
      </c>
      <c r="D25" s="1">
        <f>B_0*(EE/8)</f>
        <v>3.077306312097355E-05</v>
      </c>
      <c r="E25" s="37"/>
    </row>
    <row r="26" spans="3:5" ht="13.5">
      <c r="C26" s="12" t="s">
        <v>51</v>
      </c>
      <c r="D26" s="1">
        <f>B_0*(-FF/10)</f>
        <v>-4.533741463133177E-08</v>
      </c>
      <c r="E26" s="37"/>
    </row>
    <row r="27" spans="3:5" ht="13.5">
      <c r="C27" s="12" t="s">
        <v>52</v>
      </c>
      <c r="D27" s="1">
        <f>B_0*(GG/12)</f>
        <v>6.852342270727516E-11</v>
      </c>
      <c r="E27" s="37"/>
    </row>
    <row r="28" spans="3:5" ht="13.5">
      <c r="C28" s="12" t="s">
        <v>53</v>
      </c>
      <c r="D28" s="1">
        <f>B_0*(-HH/14)</f>
        <v>-1.0530680388901772E-13</v>
      </c>
      <c r="E28" s="37"/>
    </row>
    <row r="29" spans="3:5" ht="13.5">
      <c r="C29" s="12" t="s">
        <v>54</v>
      </c>
      <c r="D29" s="1">
        <f>B_0*(II/16)</f>
        <v>1.5885325260826067E-16</v>
      </c>
      <c r="E29" s="37"/>
    </row>
    <row r="30" spans="3:5" ht="13.5">
      <c r="C30" s="12" t="s">
        <v>149</v>
      </c>
      <c r="D30" s="1">
        <f>a*(1-e^2)</f>
        <v>6334832.032545904</v>
      </c>
      <c r="E30" s="37" t="s">
        <v>150</v>
      </c>
    </row>
    <row r="31" spans="3:5" ht="13.5">
      <c r="C31" s="12" t="s">
        <v>82</v>
      </c>
      <c r="D31" s="1">
        <f>1+(3/4*e^2)+(45/64*e^4)+(175/256*e^6)+(11025/16384*e^8)+(43659/65536*e^10)+(693693/1048576*e^12)+(19324305/29360128*e^14)+(4927697775/7516192768*e^16)</f>
        <v>1.005037306045577</v>
      </c>
      <c r="E31" s="37"/>
    </row>
    <row r="32" spans="3:5" ht="13.5">
      <c r="C32" s="12" t="s">
        <v>137</v>
      </c>
      <c r="D32" s="1">
        <f>(3/4*e^2)+(15/16*e^4)+(525/512*e^6)+(2205/2048*e^8)+(72765/65536*e^10)+(297297/262144*e^12)+(135270135/117440512*e^14)+(547521975/469762048*e^16)</f>
        <v>0.005047849237900374</v>
      </c>
      <c r="E32" s="37"/>
    </row>
    <row r="33" spans="3:5" ht="13.5">
      <c r="C33" s="12" t="s">
        <v>138</v>
      </c>
      <c r="D33" s="1">
        <f>(15/64*e^4)+(105/256*e^6)+(2205/4096*e^8)+(10395/16384*e^10)+(1486485/2097152*e^12)+(4509045/58720256*e^14)+(766530765/939524096*e^16)</f>
        <v>1.0563786881881398E-05</v>
      </c>
      <c r="E33" s="37"/>
    </row>
    <row r="34" spans="3:5" ht="13.5">
      <c r="C34" s="12" t="s">
        <v>139</v>
      </c>
      <c r="D34" s="1">
        <f>(35/512*e^6)+(315/2048*e^8)+(31185/131072*e^10)+(165165/524288*e^12)+(45090045/117440512*e^14)+(209053845/469762048*e^16)</f>
        <v>2.0633349718898434E-08</v>
      </c>
      <c r="E34" s="37"/>
    </row>
    <row r="35" spans="3:5" ht="13.5">
      <c r="C35" s="12" t="s">
        <v>140</v>
      </c>
      <c r="D35" s="1">
        <f>(315/16384*e^8)+(3465/65536*e^10)+(99099/1048576*e^12)+(4099095/29360128*e^14)+(348423075/1879048192*e^16)</f>
        <v>3.88620414405604E-11</v>
      </c>
      <c r="E35" s="37"/>
    </row>
    <row r="36" spans="3:5" ht="13.5">
      <c r="C36" s="12" t="s">
        <v>141</v>
      </c>
      <c r="D36" s="1">
        <f>(693/131072*e^10)+(9009/524288*e^12)+(4099095/117440512*e^14)+(26801775/469762048*e^16)</f>
        <v>7.156845579867905E-14</v>
      </c>
      <c r="E36" s="37"/>
    </row>
    <row r="37" spans="3:5" ht="13.5">
      <c r="C37" s="12" t="s">
        <v>142</v>
      </c>
      <c r="D37" s="1">
        <f>(3003/2097152)*e^12+(315315/58720256*e^14)+(11486475/939524096*e^16)</f>
        <v>1.298031373622444E-16</v>
      </c>
      <c r="E37" s="37"/>
    </row>
    <row r="38" spans="3:5" ht="13.5">
      <c r="C38" s="12" t="s">
        <v>143</v>
      </c>
      <c r="D38" s="1">
        <f>(45045/117440512*e^14)+(765765/469762048*e^16)</f>
        <v>2.327283891462145E-19</v>
      </c>
      <c r="E38" s="37"/>
    </row>
    <row r="39" spans="3:5" ht="13.5">
      <c r="C39" s="12" t="s">
        <v>144</v>
      </c>
      <c r="D39" s="1">
        <f>765765/7516192768*e^16</f>
        <v>4.0121853723573896E-22</v>
      </c>
      <c r="E39" s="6"/>
    </row>
    <row r="41" ht="13.5">
      <c r="A41" t="s">
        <v>102</v>
      </c>
    </row>
    <row r="42" ht="13.5">
      <c r="A42" t="s">
        <v>103</v>
      </c>
    </row>
  </sheetData>
  <mergeCells count="1">
    <mergeCell ref="C5:C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72"/>
  <sheetViews>
    <sheetView zoomScale="75" zoomScaleNormal="75"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12" sqref="C12"/>
    </sheetView>
  </sheetViews>
  <sheetFormatPr defaultColWidth="9.00390625" defaultRowHeight="13.5"/>
  <cols>
    <col min="1" max="1" width="2.375" style="0" customWidth="1"/>
    <col min="2" max="2" width="12.125" style="0" customWidth="1"/>
    <col min="3" max="3" width="13.25390625" style="0" bestFit="1" customWidth="1"/>
    <col min="4" max="4" width="7.00390625" style="0" bestFit="1" customWidth="1"/>
    <col min="5" max="5" width="7.625" style="0" bestFit="1" customWidth="1"/>
    <col min="6" max="6" width="18.75390625" style="0" bestFit="1" customWidth="1"/>
    <col min="7" max="7" width="20.00390625" style="0" bestFit="1" customWidth="1"/>
    <col min="8" max="8" width="12.75390625" style="0" bestFit="1" customWidth="1"/>
    <col min="9" max="9" width="14.375" style="0" bestFit="1" customWidth="1"/>
    <col min="10" max="10" width="2.00390625" style="0" customWidth="1"/>
    <col min="11" max="11" width="57.875" style="0" bestFit="1" customWidth="1"/>
    <col min="12" max="12" width="2.625" style="0" customWidth="1"/>
    <col min="13" max="13" width="2.50390625" style="0" bestFit="1" customWidth="1"/>
    <col min="14" max="14" width="3.125" style="0" bestFit="1" customWidth="1"/>
    <col min="15" max="15" width="3.00390625" style="0" bestFit="1" customWidth="1"/>
    <col min="16" max="16" width="4.00390625" style="0" bestFit="1" customWidth="1"/>
    <col min="17" max="17" width="3.00390625" style="0" bestFit="1" customWidth="1"/>
    <col min="18" max="18" width="2.00390625" style="0" customWidth="1"/>
    <col min="20" max="20" width="11.00390625" style="0" bestFit="1" customWidth="1"/>
    <col min="21" max="21" width="10.00390625" style="0" bestFit="1" customWidth="1"/>
  </cols>
  <sheetData>
    <row r="1" ht="13.5">
      <c r="A1" t="s">
        <v>93</v>
      </c>
    </row>
    <row r="2" ht="13.5">
      <c r="B2" t="str">
        <f>"座標系番号:"&amp;座標系&amp;"系　　測地系:"&amp;IF(測地系=1,"日本測地系(JGD2000)※世界測地系(WGS84)","日本測地系(旧)(Tokyo)")</f>
        <v>座標系番号:9系　　測地系:日本測地系(旧)(Tokyo)</v>
      </c>
    </row>
    <row r="3" spans="2:105" ht="13.5">
      <c r="B3" s="5" t="s">
        <v>92</v>
      </c>
      <c r="C3" s="1" t="s">
        <v>77</v>
      </c>
      <c r="D3" s="1"/>
      <c r="E3" s="1" t="s">
        <v>80</v>
      </c>
      <c r="F3" s="2" t="s">
        <v>84</v>
      </c>
      <c r="G3" s="4"/>
      <c r="H3" s="16" t="s">
        <v>85</v>
      </c>
      <c r="I3" s="7"/>
      <c r="K3" s="5" t="s">
        <v>83</v>
      </c>
      <c r="M3" s="17" t="s">
        <v>101</v>
      </c>
      <c r="N3" s="18"/>
      <c r="O3" s="18"/>
      <c r="P3" s="18"/>
      <c r="Q3" s="19"/>
      <c r="S3" s="2" t="s">
        <v>71</v>
      </c>
      <c r="T3" s="3"/>
      <c r="U3" s="3"/>
      <c r="V3" s="3"/>
      <c r="W3" s="3"/>
      <c r="X3" s="3"/>
      <c r="Y3" s="3"/>
      <c r="Z3" s="4"/>
      <c r="AA3" s="2" t="s">
        <v>72</v>
      </c>
      <c r="AB3" s="3"/>
      <c r="AC3" s="3"/>
      <c r="AD3" s="3"/>
      <c r="AE3" s="3"/>
      <c r="AF3" s="3"/>
      <c r="AG3" s="3"/>
      <c r="AH3" s="3"/>
      <c r="AI3" s="4"/>
      <c r="AJ3" s="1" t="s">
        <v>3</v>
      </c>
      <c r="AK3" s="1" t="s">
        <v>76</v>
      </c>
      <c r="AL3" s="2"/>
      <c r="AM3" s="3"/>
      <c r="AN3" s="4"/>
      <c r="AO3" s="3"/>
      <c r="AP3" s="3"/>
      <c r="AQ3" s="3"/>
      <c r="AR3" s="4"/>
      <c r="AS3" s="2" t="s">
        <v>79</v>
      </c>
      <c r="AT3" s="2" t="s">
        <v>78</v>
      </c>
      <c r="AU3" s="3"/>
      <c r="AV3" s="3"/>
      <c r="AW3" s="3"/>
      <c r="AX3" s="3"/>
      <c r="AY3" s="4"/>
      <c r="AZ3" s="2" t="s">
        <v>58</v>
      </c>
      <c r="BA3" s="3"/>
      <c r="BB3" s="3"/>
      <c r="BC3" s="3"/>
      <c r="BD3" s="3"/>
      <c r="BE3" s="4"/>
      <c r="BF3" s="2" t="s">
        <v>59</v>
      </c>
      <c r="BG3" s="3"/>
      <c r="BH3" s="3"/>
      <c r="BI3" s="3"/>
      <c r="BJ3" s="3"/>
      <c r="BK3" s="4"/>
      <c r="BL3" s="2" t="s">
        <v>60</v>
      </c>
      <c r="BM3" s="3"/>
      <c r="BN3" s="3"/>
      <c r="BO3" s="3"/>
      <c r="BP3" s="3"/>
      <c r="BQ3" s="4"/>
      <c r="BR3" s="2" t="s">
        <v>61</v>
      </c>
      <c r="BS3" s="3"/>
      <c r="BT3" s="3"/>
      <c r="BU3" s="3"/>
      <c r="BV3" s="3"/>
      <c r="BW3" s="4"/>
      <c r="BX3" s="2" t="s">
        <v>62</v>
      </c>
      <c r="BY3" s="3"/>
      <c r="BZ3" s="3"/>
      <c r="CA3" s="3"/>
      <c r="CB3" s="3"/>
      <c r="CC3" s="4"/>
      <c r="CD3" s="2" t="s">
        <v>63</v>
      </c>
      <c r="CE3" s="3"/>
      <c r="CF3" s="3"/>
      <c r="CG3" s="3"/>
      <c r="CH3" s="3"/>
      <c r="CI3" s="4"/>
      <c r="CJ3" s="2" t="s">
        <v>64</v>
      </c>
      <c r="CK3" s="3"/>
      <c r="CL3" s="3"/>
      <c r="CM3" s="3"/>
      <c r="CN3" s="3"/>
      <c r="CO3" s="4"/>
      <c r="CP3" s="2" t="s">
        <v>65</v>
      </c>
      <c r="CQ3" s="3"/>
      <c r="CR3" s="3"/>
      <c r="CS3" s="3"/>
      <c r="CT3" s="3"/>
      <c r="CU3" s="4"/>
      <c r="CV3" s="2" t="s">
        <v>66</v>
      </c>
      <c r="CW3" s="3"/>
      <c r="CX3" s="3"/>
      <c r="CY3" s="3"/>
      <c r="CZ3" s="3"/>
      <c r="DA3" s="4"/>
    </row>
    <row r="4" spans="2:105" ht="13.5">
      <c r="B4" s="6"/>
      <c r="C4" s="1" t="s">
        <v>5</v>
      </c>
      <c r="D4" s="1" t="s">
        <v>6</v>
      </c>
      <c r="E4" s="1" t="s">
        <v>97</v>
      </c>
      <c r="F4" s="1" t="s">
        <v>36</v>
      </c>
      <c r="G4" s="1" t="s">
        <v>35</v>
      </c>
      <c r="H4" s="15" t="s">
        <v>36</v>
      </c>
      <c r="I4" s="15" t="s">
        <v>35</v>
      </c>
      <c r="K4" s="6"/>
      <c r="M4" s="20"/>
      <c r="N4" s="21"/>
      <c r="O4" s="21"/>
      <c r="P4" s="21"/>
      <c r="Q4" s="22"/>
      <c r="S4" s="1" t="s">
        <v>31</v>
      </c>
      <c r="T4" s="1" t="s">
        <v>55</v>
      </c>
      <c r="U4" s="1" t="s">
        <v>56</v>
      </c>
      <c r="V4" s="1" t="s">
        <v>37</v>
      </c>
      <c r="W4" s="1" t="s">
        <v>67</v>
      </c>
      <c r="X4" s="1" t="s">
        <v>68</v>
      </c>
      <c r="Y4" s="1" t="s">
        <v>69</v>
      </c>
      <c r="Z4" s="1" t="s">
        <v>70</v>
      </c>
      <c r="AA4" s="1" t="s">
        <v>31</v>
      </c>
      <c r="AB4" s="1" t="s">
        <v>55</v>
      </c>
      <c r="AC4" s="1" t="s">
        <v>56</v>
      </c>
      <c r="AD4" s="1" t="s">
        <v>37</v>
      </c>
      <c r="AE4" s="1" t="s">
        <v>2</v>
      </c>
      <c r="AF4" s="1" t="s">
        <v>67</v>
      </c>
      <c r="AG4" s="1" t="s">
        <v>68</v>
      </c>
      <c r="AH4" s="1" t="s">
        <v>69</v>
      </c>
      <c r="AI4" s="1" t="s">
        <v>70</v>
      </c>
      <c r="AJ4" s="1"/>
      <c r="AK4" s="1"/>
      <c r="AL4" s="1" t="s">
        <v>73</v>
      </c>
      <c r="AM4" s="1" t="s">
        <v>74</v>
      </c>
      <c r="AN4" s="1" t="s">
        <v>75</v>
      </c>
      <c r="AO4" s="1" t="s">
        <v>4</v>
      </c>
      <c r="AP4" s="1" t="s">
        <v>7</v>
      </c>
      <c r="AQ4" s="1" t="s">
        <v>8</v>
      </c>
      <c r="AR4" s="1" t="s">
        <v>9</v>
      </c>
      <c r="AS4" s="1" t="s">
        <v>135</v>
      </c>
      <c r="AT4" s="1" t="s">
        <v>42</v>
      </c>
      <c r="AU4" s="1" t="s">
        <v>43</v>
      </c>
      <c r="AV4" s="1" t="s">
        <v>44</v>
      </c>
      <c r="AW4" s="1" t="s">
        <v>45</v>
      </c>
      <c r="AX4" s="1" t="s">
        <v>46</v>
      </c>
      <c r="AY4" s="1" t="s">
        <v>57</v>
      </c>
      <c r="AZ4" s="1" t="s">
        <v>42</v>
      </c>
      <c r="BA4" s="1" t="s">
        <v>43</v>
      </c>
      <c r="BB4" s="1" t="s">
        <v>44</v>
      </c>
      <c r="BC4" s="1" t="s">
        <v>45</v>
      </c>
      <c r="BD4" s="1" t="s">
        <v>46</v>
      </c>
      <c r="BE4" s="1" t="s">
        <v>57</v>
      </c>
      <c r="BF4" s="1" t="s">
        <v>42</v>
      </c>
      <c r="BG4" s="1" t="s">
        <v>43</v>
      </c>
      <c r="BH4" s="1" t="s">
        <v>44</v>
      </c>
      <c r="BI4" s="1" t="s">
        <v>45</v>
      </c>
      <c r="BJ4" s="1" t="s">
        <v>46</v>
      </c>
      <c r="BK4" s="1" t="s">
        <v>57</v>
      </c>
      <c r="BL4" s="1" t="s">
        <v>42</v>
      </c>
      <c r="BM4" s="1" t="s">
        <v>43</v>
      </c>
      <c r="BN4" s="1" t="s">
        <v>44</v>
      </c>
      <c r="BO4" s="1" t="s">
        <v>45</v>
      </c>
      <c r="BP4" s="1" t="s">
        <v>46</v>
      </c>
      <c r="BQ4" s="1" t="s">
        <v>57</v>
      </c>
      <c r="BR4" s="1" t="s">
        <v>42</v>
      </c>
      <c r="BS4" s="1" t="s">
        <v>43</v>
      </c>
      <c r="BT4" s="1" t="s">
        <v>44</v>
      </c>
      <c r="BU4" s="1" t="s">
        <v>45</v>
      </c>
      <c r="BV4" s="1" t="s">
        <v>46</v>
      </c>
      <c r="BW4" s="1" t="s">
        <v>57</v>
      </c>
      <c r="BX4" s="1" t="s">
        <v>42</v>
      </c>
      <c r="BY4" s="1" t="s">
        <v>43</v>
      </c>
      <c r="BZ4" s="1" t="s">
        <v>44</v>
      </c>
      <c r="CA4" s="1" t="s">
        <v>45</v>
      </c>
      <c r="CB4" s="1" t="s">
        <v>46</v>
      </c>
      <c r="CC4" s="1" t="s">
        <v>57</v>
      </c>
      <c r="CD4" s="1" t="s">
        <v>42</v>
      </c>
      <c r="CE4" s="1" t="s">
        <v>43</v>
      </c>
      <c r="CF4" s="1" t="s">
        <v>44</v>
      </c>
      <c r="CG4" s="1" t="s">
        <v>45</v>
      </c>
      <c r="CH4" s="1" t="s">
        <v>46</v>
      </c>
      <c r="CI4" s="1" t="s">
        <v>57</v>
      </c>
      <c r="CJ4" s="1" t="s">
        <v>42</v>
      </c>
      <c r="CK4" s="1" t="s">
        <v>43</v>
      </c>
      <c r="CL4" s="1" t="s">
        <v>44</v>
      </c>
      <c r="CM4" s="1" t="s">
        <v>45</v>
      </c>
      <c r="CN4" s="1" t="s">
        <v>46</v>
      </c>
      <c r="CO4" s="1" t="s">
        <v>57</v>
      </c>
      <c r="CP4" s="1" t="s">
        <v>42</v>
      </c>
      <c r="CQ4" s="1" t="s">
        <v>43</v>
      </c>
      <c r="CR4" s="1" t="s">
        <v>44</v>
      </c>
      <c r="CS4" s="1" t="s">
        <v>45</v>
      </c>
      <c r="CT4" s="1" t="s">
        <v>46</v>
      </c>
      <c r="CU4" s="1" t="s">
        <v>57</v>
      </c>
      <c r="CV4" s="1" t="s">
        <v>42</v>
      </c>
      <c r="CW4" s="1" t="s">
        <v>43</v>
      </c>
      <c r="CX4" s="1" t="s">
        <v>44</v>
      </c>
      <c r="CY4" s="1" t="s">
        <v>45</v>
      </c>
      <c r="CZ4" s="1" t="s">
        <v>46</v>
      </c>
      <c r="DA4" s="1" t="s">
        <v>57</v>
      </c>
    </row>
    <row r="5" spans="2:105" ht="13.5">
      <c r="B5" s="10" t="s">
        <v>96</v>
      </c>
      <c r="C5" s="10">
        <v>0</v>
      </c>
      <c r="D5" s="10">
        <v>0</v>
      </c>
      <c r="E5" s="10">
        <v>-9999</v>
      </c>
      <c r="F5" s="13" t="str">
        <f>S5&amp;"°"&amp;T5&amp;"′"&amp;U5&amp;"″"</f>
        <v>36°00′00.0000″</v>
      </c>
      <c r="G5" s="13" t="str">
        <f>AA5&amp;"°"&amp;AB5&amp;"′"&amp;AC5&amp;"″"</f>
        <v>139°50′00.0000″</v>
      </c>
      <c r="H5" s="13">
        <f>S5+T5/100+U5/10000</f>
        <v>36</v>
      </c>
      <c r="I5" s="13">
        <f>AA5+AB5/100+AC5/10000</f>
        <v>139.5</v>
      </c>
      <c r="K5" s="13" t="str">
        <f>IF(C5="","",IF(表示地名=1,xy2bl!B5,"X="&amp;TEXT(C5/1000,"000.0")&amp;"__Y="&amp;TEXT(D5/1000,"000.0"))&amp;" "&amp;H5&amp;" "&amp;I5&amp;" "&amp;E5&amp;" "&amp;M5&amp;" "&amp;N5&amp;" "&amp;O5&amp;" "&amp;P5&amp;" "&amp;Q5&amp;" "&amp;測地系名)</f>
        <v>X=000.0__Y=000.0 36 139.5 -9999 _ A 1 80 1 Tokyo</v>
      </c>
      <c r="M5" s="1" t="s">
        <v>81</v>
      </c>
      <c r="N5" s="1" t="s">
        <v>82</v>
      </c>
      <c r="O5" s="1">
        <v>1</v>
      </c>
      <c r="P5" s="1">
        <v>80</v>
      </c>
      <c r="Q5" s="1">
        <v>1</v>
      </c>
      <c r="S5" s="1">
        <f>ROUNDDOWN(V5/PI()*180,0)</f>
        <v>36</v>
      </c>
      <c r="T5" s="1" t="str">
        <f>TEXT(ROUNDDOWN(V5/PI()*180*60-S5*60,0),"00")</f>
        <v>00</v>
      </c>
      <c r="U5" s="1" t="str">
        <f>TEXT(V5/PI()*180*3600-S5*3600-T5*60,"00.0000")</f>
        <v>00.0000</v>
      </c>
      <c r="V5" s="1">
        <f>W5+X5+Y5+Z5</f>
        <v>0.6283185307179586</v>
      </c>
      <c r="W5" s="1">
        <f>AO5-(1/2)*(1/AP5^2)*AM5*(1+AL5^2)*(AN5)^2</f>
        <v>0.6283185307179586</v>
      </c>
      <c r="X5" s="1">
        <f>(1/24)*(1/AP5^4)*AM5*(5+3*AM5^2+6*AL5^2+6*AM5^2*AL5^2-3*AL5^4-9*AM5^2*AL5^4)*(AN5)^4</f>
        <v>0</v>
      </c>
      <c r="Y5" s="1">
        <f>-(1/720)*(1/AP5^6)*AM5*(61+90*AM5^2+45*AM5^4+107*AL5^2-162*AM5^2*AL5^2-45*AM5^4*AL5^2)*(AN5)^6</f>
        <v>0</v>
      </c>
      <c r="Z5" s="1">
        <f>(1/40320)*(1/AP5^8)*AM5*(1385+3633*AM5^2+4095*AM5^4+1575*AM5^6)*(AN5)^8</f>
        <v>0</v>
      </c>
      <c r="AA5" s="1">
        <f>ROUNDDOWN(AD5/PI()*180,0)</f>
        <v>139</v>
      </c>
      <c r="AB5" s="1" t="str">
        <f>TEXT(ROUNDDOWN(AD5/PI()*180*60-AA5*60,0),"00")</f>
        <v>50</v>
      </c>
      <c r="AC5" s="1" t="str">
        <f>TEXT(AD5/PI()*180*3600-AA5*3600-AB5*60,"00.0000")</f>
        <v>00.0000</v>
      </c>
      <c r="AD5" s="1">
        <f>λ0+AE5</f>
        <v>2.4405520707054045</v>
      </c>
      <c r="AE5" s="1">
        <f>AF5+AG5+AH5+AI5</f>
        <v>0</v>
      </c>
      <c r="AF5" s="1">
        <f>(1/(AP5*COS(AO5)))*(AN5)</f>
        <v>0</v>
      </c>
      <c r="AG5" s="1">
        <f>-(1/6)*(1/(AP5^3*COS(AO5)))*(1+2*AM5^2+AL5^2)*(AN5)^3</f>
        <v>0</v>
      </c>
      <c r="AH5" s="1">
        <f>(1/120)*(1/(AP5^5*COS(AO5)))*(5+28*AM5^2+24*AM5^4+6*AL5^2+8*AM5^2*AL5^2)*(AN5)^5</f>
        <v>0</v>
      </c>
      <c r="AI5" s="1">
        <f>-(1/5040)*(1/(AP5^7*COS(AO5)))*(61+662*AM5^2+1320*AM5^4+720*AM5^6)*(AN5)^7</f>
        <v>0</v>
      </c>
      <c r="AJ5" s="1"/>
      <c r="AK5" s="1"/>
      <c r="AL5" s="1">
        <f>SQRT(e_dash^2*COS(AO5)^2)</f>
        <v>0.06631580351293902</v>
      </c>
      <c r="AM5" s="1">
        <f>TAN(AO5)</f>
        <v>0.7265425280053609</v>
      </c>
      <c r="AN5" s="1">
        <f>D5/m0</f>
        <v>0</v>
      </c>
      <c r="AO5" s="1">
        <f>CV5</f>
        <v>0.6283185307179586</v>
      </c>
      <c r="AP5" s="1">
        <f>a/SQRT(1-e^2*SIN(AO5)^2)</f>
        <v>6384762.840127578</v>
      </c>
      <c r="AQ5" s="1"/>
      <c r="AR5" s="1"/>
      <c r="AS5" s="1">
        <f>S0+(C5/m0)</f>
        <v>3985146.0533183594</v>
      </c>
      <c r="AT5" s="1">
        <f>AU5+AV5/AW5</f>
        <v>0.6283185307179586</v>
      </c>
      <c r="AU5" s="1">
        <f>φ0</f>
        <v>0.6283185307179586</v>
      </c>
      <c r="AV5" s="1">
        <f>2*(AX5-$AS5)*(1-e^2*SIN(AU5)^2)^(3/2)</f>
        <v>0</v>
      </c>
      <c r="AW5" s="1">
        <f>3*e^2*(AX5-$AS5)*SIN(AU5)*COS(AU5)*(1-e^2*SIN(AU5)^2)^(1/2)-2*a*(1-e^2)</f>
        <v>-12669664.065091807</v>
      </c>
      <c r="AX5" s="1">
        <f>(B_1*AU5)+(B_2*SIN(2*AU5))+(B_3*SIN(4*AU5))+(B_4*SIN(6*AU5))+(B_5*SIN(8*AU5))+(B_6*SIN(10*AU5))+(B_7*SIN(12*AU5))+(B_8*SIN(14*AU5))+(B_9*SIN(16*AU5))</f>
        <v>3985146.0533183594</v>
      </c>
      <c r="AY5" s="1">
        <f>ABS(AT5-AU5)/PI()*180-(0.00002/3600)</f>
        <v>-5.555555555555556E-09</v>
      </c>
      <c r="AZ5" s="1">
        <f>BA5+BB5/BC5</f>
        <v>0.6283185307179586</v>
      </c>
      <c r="BA5" s="1">
        <f>AT5</f>
        <v>0.6283185307179586</v>
      </c>
      <c r="BB5" s="1">
        <f>2*(BD5-$AS5)*(1-e^2*SIN(BA5)^2)^(3/2)</f>
        <v>0</v>
      </c>
      <c r="BC5" s="1">
        <f>3*e^2*(BD5-$AS5)*SIN(BA5)*COS(BA5)*(1-e^2*SIN(BA5)^2)^(1/2)-2*a*(1-e^2)</f>
        <v>-12669664.065091807</v>
      </c>
      <c r="BD5" s="1">
        <f>(B_1*BA5)+(B_2*SIN(2*BA5))+(B_3*SIN(4*BA5))+(B_4*SIN(6*BA5))+(B_5*SIN(8*BA5))+(B_6*SIN(10*BA5))+(B_7*SIN(12*BA5))+(B_8*SIN(14*BA5))+(B_9*SIN(16*BA5))</f>
        <v>3985146.0533183594</v>
      </c>
      <c r="BE5" s="1">
        <f>ABS(AZ5-BA5)/PI()*180-(0.00002/3600)</f>
        <v>-5.555555555555556E-09</v>
      </c>
      <c r="BF5" s="1">
        <f>BG5+BH5/BI5</f>
        <v>0.6283185307179586</v>
      </c>
      <c r="BG5" s="1">
        <f>AZ5</f>
        <v>0.6283185307179586</v>
      </c>
      <c r="BH5" s="1">
        <f>2*(BJ5-$AS5)*(1-e^2*SIN(BG5)^2)^(3/2)</f>
        <v>0</v>
      </c>
      <c r="BI5" s="1">
        <f>3*e^2*(BJ5-$AS5)*SIN(BG5)*COS(BG5)*(1-e^2*SIN(BG5)^2)^(1/2)-2*a*(1-e^2)</f>
        <v>-12669664.065091807</v>
      </c>
      <c r="BJ5" s="1">
        <f>(B_1*BG5)+(B_2*SIN(2*BG5))+(B_3*SIN(4*BG5))+(B_4*SIN(6*BG5))+(B_5*SIN(8*BG5))+(B_6*SIN(10*BG5))+(B_7*SIN(12*BG5))+(B_8*SIN(14*BG5))+(B_9*SIN(16*BG5))</f>
        <v>3985146.0533183594</v>
      </c>
      <c r="BK5" s="1">
        <f>ABS(BF5-BG5)/PI()*180-(0.00002/3600)</f>
        <v>-5.555555555555556E-09</v>
      </c>
      <c r="BL5" s="1">
        <f>BM5+BN5/BO5</f>
        <v>0.6283185307179586</v>
      </c>
      <c r="BM5" s="1">
        <f>BF5</f>
        <v>0.6283185307179586</v>
      </c>
      <c r="BN5" s="1">
        <f>2*(BP5-$AS5)*(1-e^2*SIN(BM5)^2)^(3/2)</f>
        <v>0</v>
      </c>
      <c r="BO5" s="1">
        <f>3*e^2*(BP5-$AS5)*SIN(BM5)*COS(BM5)*(1-e^2*SIN(BM5)^2)^(1/2)-2*a*(1-e^2)</f>
        <v>-12669664.065091807</v>
      </c>
      <c r="BP5" s="1">
        <f>(B_1*BM5)+(B_2*SIN(2*BM5))+(B_3*SIN(4*BM5))+(B_4*SIN(6*BM5))+(B_5*SIN(8*BM5))+(B_6*SIN(10*BM5))+(B_7*SIN(12*BM5))+(B_8*SIN(14*BM5))+(B_9*SIN(16*BM5))</f>
        <v>3985146.0533183594</v>
      </c>
      <c r="BQ5" s="1">
        <f>ABS(BL5-BM5)/PI()*180-(0.00002/3600)</f>
        <v>-5.555555555555556E-09</v>
      </c>
      <c r="BR5" s="1">
        <f>BS5+BT5/BU5</f>
        <v>0.6283185307179586</v>
      </c>
      <c r="BS5" s="1">
        <f>BL5</f>
        <v>0.6283185307179586</v>
      </c>
      <c r="BT5" s="1">
        <f>2*(BV5-$AS5)*(1-e^2*SIN(BS5)^2)^(3/2)</f>
        <v>0</v>
      </c>
      <c r="BU5" s="1">
        <f>3*e^2*(BV5-$AS5)*SIN(BS5)*COS(BS5)*(1-e^2*SIN(BS5)^2)^(1/2)-2*a*(1-e^2)</f>
        <v>-12669664.065091807</v>
      </c>
      <c r="BV5" s="1">
        <f>(B_1*BS5)+(B_2*SIN(2*BS5))+(B_3*SIN(4*BS5))+(B_4*SIN(6*BS5))+(B_5*SIN(8*BS5))+(B_6*SIN(10*BS5))+(B_7*SIN(12*BS5))+(B_8*SIN(14*BS5))+(B_9*SIN(16*BS5))</f>
        <v>3985146.0533183594</v>
      </c>
      <c r="BW5" s="1">
        <f>ABS(BR5-BS5)/PI()*180-(0.00002/3600)</f>
        <v>-5.555555555555556E-09</v>
      </c>
      <c r="BX5" s="1">
        <f>BY5+BZ5/CA5</f>
        <v>0.6283185307179586</v>
      </c>
      <c r="BY5" s="1">
        <f>BR5</f>
        <v>0.6283185307179586</v>
      </c>
      <c r="BZ5" s="1">
        <f>2*(CB5-$AS5)*(1-e^2*SIN(BY5)^2)^(3/2)</f>
        <v>0</v>
      </c>
      <c r="CA5" s="1">
        <f>3*e^2*(CB5-$AS5)*SIN(BY5)*COS(BY5)*(1-e^2*SIN(BY5)^2)^(1/2)-2*a*(1-e^2)</f>
        <v>-12669664.065091807</v>
      </c>
      <c r="CB5" s="1">
        <f>(B_1*BY5)+(B_2*SIN(2*BY5))+(B_3*SIN(4*BY5))+(B_4*SIN(6*BY5))+(B_5*SIN(8*BY5))+(B_6*SIN(10*BY5))+(B_7*SIN(12*BY5))+(B_8*SIN(14*BY5))+(B_9*SIN(16*BY5))</f>
        <v>3985146.0533183594</v>
      </c>
      <c r="CC5" s="1">
        <f>ABS(BX5-BY5)/PI()*180-(0.00002/3600)</f>
        <v>-5.555555555555556E-09</v>
      </c>
      <c r="CD5" s="1">
        <f>CE5+CF5/CG5</f>
        <v>0.6283185307179586</v>
      </c>
      <c r="CE5" s="1">
        <f>BX5</f>
        <v>0.6283185307179586</v>
      </c>
      <c r="CF5" s="1">
        <f>2*(CH5-$AS5)*(1-e^2*SIN(CE5)^2)^(3/2)</f>
        <v>0</v>
      </c>
      <c r="CG5" s="1">
        <f>3*e^2*(CH5-$AS5)*SIN(CE5)*COS(CE5)*(1-e^2*SIN(CE5)^2)^(1/2)-2*a*(1-e^2)</f>
        <v>-12669664.065091807</v>
      </c>
      <c r="CH5" s="1">
        <f>(B_1*CE5)+(B_2*SIN(2*CE5))+(B_3*SIN(4*CE5))+(B_4*SIN(6*CE5))+(B_5*SIN(8*CE5))+(B_6*SIN(10*CE5))+(B_7*SIN(12*CE5))+(B_8*SIN(14*CE5))+(B_9*SIN(16*CE5))</f>
        <v>3985146.0533183594</v>
      </c>
      <c r="CI5" s="1">
        <f>ABS(CD5-CE5)/PI()*180-(0.00002/3600)</f>
        <v>-5.555555555555556E-09</v>
      </c>
      <c r="CJ5" s="1">
        <f>CK5+CL5/CM5</f>
        <v>0.6283185307179586</v>
      </c>
      <c r="CK5" s="1">
        <f>CD5</f>
        <v>0.6283185307179586</v>
      </c>
      <c r="CL5" s="1">
        <f>2*(CN5-$AS5)*(1-e^2*SIN(CK5)^2)^(3/2)</f>
        <v>0</v>
      </c>
      <c r="CM5" s="1">
        <f>3*e^2*(CN5-$AS5)*SIN(CK5)*COS(CK5)*(1-e^2*SIN(CK5)^2)^(1/2)-2*a*(1-e^2)</f>
        <v>-12669664.065091807</v>
      </c>
      <c r="CN5" s="1">
        <f>(B_1*CK5)+(B_2*SIN(2*CK5))+(B_3*SIN(4*CK5))+(B_4*SIN(6*CK5))+(B_5*SIN(8*CK5))+(B_6*SIN(10*CK5))+(B_7*SIN(12*CK5))+(B_8*SIN(14*CK5))+(B_9*SIN(16*CK5))</f>
        <v>3985146.0533183594</v>
      </c>
      <c r="CO5" s="1">
        <f>ABS(CJ5-CK5)/PI()*180-(0.00002/3600)</f>
        <v>-5.555555555555556E-09</v>
      </c>
      <c r="CP5" s="1">
        <f>CQ5+CR5/CS5</f>
        <v>0.6283185307179586</v>
      </c>
      <c r="CQ5" s="1">
        <f>CJ5</f>
        <v>0.6283185307179586</v>
      </c>
      <c r="CR5" s="1">
        <f>2*(CT5-$AS5)*(1-e^2*SIN(CQ5)^2)^(3/2)</f>
        <v>0</v>
      </c>
      <c r="CS5" s="1">
        <f>3*e^2*(CT5-$AS5)*SIN(CQ5)*COS(CQ5)*(1-e^2*SIN(CQ5)^2)^(1/2)-2*a*(1-e^2)</f>
        <v>-12669664.065091807</v>
      </c>
      <c r="CT5" s="1">
        <f>(B_1*CQ5)+(B_2*SIN(2*CQ5))+(B_3*SIN(4*CQ5))+(B_4*SIN(6*CQ5))+(B_5*SIN(8*CQ5))+(B_6*SIN(10*CQ5))+(B_7*SIN(12*CQ5))+(B_8*SIN(14*CQ5))+(B_9*SIN(16*CQ5))</f>
        <v>3985146.0533183594</v>
      </c>
      <c r="CU5" s="1">
        <f>ABS(CP5-CQ5)/PI()*180-(0.00002/3600)</f>
        <v>-5.555555555555556E-09</v>
      </c>
      <c r="CV5" s="1">
        <f>CW5+CX5/CY5</f>
        <v>0.6283185307179586</v>
      </c>
      <c r="CW5" s="1">
        <f>CP5</f>
        <v>0.6283185307179586</v>
      </c>
      <c r="CX5" s="1">
        <f>2*(CZ5-$AS5)*(1-e^2*SIN(CW5)^2)^(3/2)</f>
        <v>0</v>
      </c>
      <c r="CY5" s="1">
        <f>3*e^2*(CZ5-$AS5)*SIN(CW5)*COS(CW5)*(1-e^2*SIN(CW5)^2)^(1/2)-2*a*(1-e^2)</f>
        <v>-12669664.065091807</v>
      </c>
      <c r="CZ5" s="1">
        <f>(B_1*CW5)+(B_2*SIN(2*CW5))+(B_3*SIN(4*CW5))+(B_4*SIN(6*CW5))+(B_5*SIN(8*CW5))+(B_6*SIN(10*CW5))+(B_7*SIN(12*CW5))+(B_8*SIN(14*CW5))+(B_9*SIN(16*CW5))</f>
        <v>3985146.0533183594</v>
      </c>
      <c r="DA5" s="1">
        <f>ABS(CV5-CW5)/PI()*180-(0.00002/3600)</f>
        <v>-5.555555555555556E-09</v>
      </c>
    </row>
    <row r="6" ht="13.5">
      <c r="I6" s="39"/>
    </row>
    <row r="7" ht="13.5">
      <c r="A7" t="s">
        <v>99</v>
      </c>
    </row>
    <row r="8" ht="13.5">
      <c r="A8" t="s">
        <v>98</v>
      </c>
    </row>
    <row r="9" ht="13.5">
      <c r="A9" t="s">
        <v>100</v>
      </c>
    </row>
    <row r="53" ht="13.5">
      <c r="C53" s="11"/>
    </row>
    <row r="54" ht="13.5">
      <c r="C54" s="11"/>
    </row>
    <row r="55" ht="13.5">
      <c r="C55" s="11"/>
    </row>
    <row r="56" ht="13.5">
      <c r="C56" s="11"/>
    </row>
    <row r="57" ht="13.5">
      <c r="C57" s="11"/>
    </row>
    <row r="58" ht="13.5">
      <c r="C58" s="11"/>
    </row>
    <row r="59" ht="13.5">
      <c r="C59" s="11"/>
    </row>
    <row r="60" ht="13.5">
      <c r="C60" s="11"/>
    </row>
    <row r="61" ht="13.5">
      <c r="C61" s="11"/>
    </row>
    <row r="62" ht="13.5">
      <c r="C62" s="11"/>
    </row>
    <row r="63" ht="13.5">
      <c r="C63" s="11"/>
    </row>
    <row r="64" ht="13.5">
      <c r="C64" s="11"/>
    </row>
    <row r="65" ht="13.5">
      <c r="C65" s="11"/>
    </row>
    <row r="66" ht="13.5">
      <c r="C66" s="11"/>
    </row>
    <row r="67" ht="13.5">
      <c r="C67" s="11"/>
    </row>
    <row r="68" ht="13.5">
      <c r="C68" s="11"/>
    </row>
    <row r="69" ht="13.5">
      <c r="C69" s="11"/>
    </row>
    <row r="70" ht="13.5">
      <c r="C70" s="11"/>
    </row>
    <row r="71" ht="13.5">
      <c r="C71" s="11"/>
    </row>
    <row r="72" ht="13.5">
      <c r="C72" s="11"/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9"/>
  <sheetViews>
    <sheetView zoomScale="75" zoomScaleNormal="75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11" sqref="C11"/>
    </sheetView>
  </sheetViews>
  <sheetFormatPr defaultColWidth="9.00390625" defaultRowHeight="13.5"/>
  <cols>
    <col min="1" max="1" width="2.125" style="0" customWidth="1"/>
    <col min="2" max="2" width="6.75390625" style="0" customWidth="1"/>
    <col min="3" max="3" width="14.25390625" style="0" bestFit="1" customWidth="1"/>
    <col min="4" max="4" width="15.50390625" style="0" bestFit="1" customWidth="1"/>
    <col min="5" max="5" width="11.25390625" style="0" customWidth="1"/>
    <col min="6" max="6" width="2.50390625" style="0" customWidth="1"/>
    <col min="7" max="7" width="11.75390625" style="0" bestFit="1" customWidth="1"/>
    <col min="8" max="8" width="10.75390625" style="0" bestFit="1" customWidth="1"/>
    <col min="9" max="9" width="2.50390625" style="0" customWidth="1"/>
    <col min="10" max="13" width="9.25390625" style="0" bestFit="1" customWidth="1"/>
    <col min="14" max="14" width="2.50390625" style="0" customWidth="1"/>
    <col min="15" max="16" width="9.25390625" style="0" bestFit="1" customWidth="1"/>
    <col min="17" max="18" width="13.125" style="0" bestFit="1" customWidth="1"/>
    <col min="19" max="20" width="9.25390625" style="0" bestFit="1" customWidth="1"/>
    <col min="21" max="21" width="15.625" style="0" bestFit="1" customWidth="1"/>
    <col min="22" max="22" width="14.50390625" style="0" bestFit="1" customWidth="1"/>
    <col min="23" max="24" width="9.125" style="0" bestFit="1" customWidth="1"/>
  </cols>
  <sheetData>
    <row r="1" ht="13.5">
      <c r="A1" t="s">
        <v>128</v>
      </c>
    </row>
    <row r="2" ht="13.5">
      <c r="B2" t="str">
        <f>"測地系:"&amp;IF(測地系=1,"日本測地系(JGD2000)※世界測地系(WGS84)","日本測地系(旧)(Tokyo)")&amp;"　　"&amp;"座標系番号:"&amp;座標系&amp;"系"</f>
        <v>測地系:日本測地系(旧)(Tokyo)　　座標系番号:9系</v>
      </c>
    </row>
    <row r="3" spans="2:28" ht="13.5">
      <c r="B3" s="2" t="s">
        <v>159</v>
      </c>
      <c r="C3" s="3"/>
      <c r="D3" s="3"/>
      <c r="E3" s="4"/>
      <c r="G3" s="5"/>
      <c r="H3" s="5"/>
      <c r="J3" s="2" t="s">
        <v>156</v>
      </c>
      <c r="K3" s="4"/>
      <c r="L3" s="2" t="s">
        <v>157</v>
      </c>
      <c r="M3" s="4"/>
      <c r="O3" s="2" t="s">
        <v>154</v>
      </c>
      <c r="P3" s="3"/>
      <c r="Q3" s="3"/>
      <c r="R3" s="4"/>
      <c r="S3" s="2" t="s">
        <v>155</v>
      </c>
      <c r="T3" s="3"/>
      <c r="U3" s="3"/>
      <c r="V3" s="4"/>
      <c r="W3" s="2"/>
      <c r="X3" s="3"/>
      <c r="Y3" s="4"/>
      <c r="Z3" s="1"/>
      <c r="AA3" s="1"/>
      <c r="AB3" s="1"/>
    </row>
    <row r="4" spans="2:28" ht="13.5">
      <c r="B4" s="1" t="s">
        <v>92</v>
      </c>
      <c r="C4" s="1" t="s">
        <v>36</v>
      </c>
      <c r="D4" s="1" t="s">
        <v>35</v>
      </c>
      <c r="E4" s="1" t="s">
        <v>80</v>
      </c>
      <c r="G4" s="6" t="s">
        <v>154</v>
      </c>
      <c r="H4" s="6" t="s">
        <v>155</v>
      </c>
      <c r="J4" s="38" t="s">
        <v>36</v>
      </c>
      <c r="K4" s="38" t="s">
        <v>35</v>
      </c>
      <c r="L4" s="1" t="s">
        <v>129</v>
      </c>
      <c r="M4" s="1" t="s">
        <v>130</v>
      </c>
      <c r="O4" s="1" t="s">
        <v>67</v>
      </c>
      <c r="P4" s="1" t="s">
        <v>68</v>
      </c>
      <c r="Q4" s="1" t="s">
        <v>69</v>
      </c>
      <c r="R4" s="1" t="s">
        <v>70</v>
      </c>
      <c r="S4" s="1" t="s">
        <v>67</v>
      </c>
      <c r="T4" s="1" t="s">
        <v>68</v>
      </c>
      <c r="U4" s="1" t="s">
        <v>69</v>
      </c>
      <c r="V4" s="1" t="s">
        <v>70</v>
      </c>
      <c r="W4" s="1" t="s">
        <v>132</v>
      </c>
      <c r="X4" s="1" t="s">
        <v>133</v>
      </c>
      <c r="Y4" s="1" t="s">
        <v>153</v>
      </c>
      <c r="Z4" s="1" t="s">
        <v>151</v>
      </c>
      <c r="AA4" s="1" t="s">
        <v>8</v>
      </c>
      <c r="AB4" s="1" t="s">
        <v>152</v>
      </c>
    </row>
    <row r="5" spans="2:28" ht="13.5">
      <c r="B5" s="10"/>
      <c r="C5" s="45">
        <v>36</v>
      </c>
      <c r="D5" s="45">
        <v>139.5</v>
      </c>
      <c r="E5" s="10">
        <v>-9999</v>
      </c>
      <c r="G5" s="44">
        <f>(O5+P5+Q5+R5)*m0</f>
        <v>0</v>
      </c>
      <c r="H5" s="44">
        <f>(S5+T5+U5+V5)*m0</f>
        <v>0</v>
      </c>
      <c r="J5" s="1">
        <f>SIGN(C5)*(250*ABS(C5)-60*INT(ABS(C5)+0.1)-INT(100*ABS(C5)+0.1))/90</f>
        <v>36</v>
      </c>
      <c r="K5" s="1">
        <f>SIGN(D5)*(250*ABS(D5)-60*INT(ABS(D5)+0.1)-INT(100*ABS(D5)+0.1))/90</f>
        <v>139.83333333333334</v>
      </c>
      <c r="L5" s="1">
        <f>J5/180*PI()</f>
        <v>0.6283185307179586</v>
      </c>
      <c r="M5" s="1">
        <f>K5/180*PI()</f>
        <v>2.4405520707054045</v>
      </c>
      <c r="O5" s="1">
        <f>(Z5-S0)+(1/2)*AA5*COS(L5)^2*Y5*W5^2</f>
        <v>0</v>
      </c>
      <c r="P5" s="1">
        <f>(1/24)*AA5*COS(L5)^4*Y5*(5-Y5^2+9*X5^2+4*X5^4)*W5^4</f>
        <v>0</v>
      </c>
      <c r="Q5" s="1">
        <f>-(1/720)*AA5*COS(L5)^6*Y5*(-61+58*Y5^2-Y5^4-270*X5^2+330*Y5^2*X5^2)*W5^6</f>
        <v>0</v>
      </c>
      <c r="R5" s="1">
        <f>-(1/40320)*AA5*COS(L5)^8*Y5*(-1385+3111*Y5^2-543^Y5^4+Y5^6)*W5^8</f>
        <v>0</v>
      </c>
      <c r="S5" s="1">
        <f>AA5*COS(L5)*W5</f>
        <v>0</v>
      </c>
      <c r="T5" s="1">
        <f>-(1/6)*AA5*COS(L5)^3*(-1+Y5^2-X5^2)*W5^3</f>
        <v>0</v>
      </c>
      <c r="U5" s="1">
        <f>-(1/120)*AA5*COS(L5)^5*(-5+18*Y5^2-Y5^4-14*X5^2+58*Y5^2*X5^2)*W5^5</f>
        <v>0</v>
      </c>
      <c r="V5" s="1">
        <f>-(1/5040)*AA5*COS(L5)^7*(-61+479*Y5^2-179*Y5^4+Y5^6)*W5^7</f>
        <v>0</v>
      </c>
      <c r="W5" s="1">
        <f>M5-λ0</f>
        <v>0</v>
      </c>
      <c r="X5" s="1">
        <f>SQRT(e_dash^2*COS(L5)^2)</f>
        <v>0.06631580351293902</v>
      </c>
      <c r="Y5" s="1">
        <f>TAN(L5)</f>
        <v>0.7265425280053609</v>
      </c>
      <c r="Z5" s="1">
        <f>(B_1*L5)+(B_2*SIN(2*L5))+(B_3*SIN(4*L5))+(B_4*SIN(6*L5))+(B_5*SIN(8*L5))+(B_6*SIN(10*L5))+(B_7*SIN(12*L5))+(B_8*SIN(14*L5))+(B_9*SIN(16*L5))</f>
        <v>3985146.0533183594</v>
      </c>
      <c r="AA5" s="1">
        <f>a/SQRT(1-e^2*SIN(L5)^2)</f>
        <v>6384762.840127578</v>
      </c>
      <c r="AB5" s="1"/>
    </row>
    <row r="7" ht="13.5">
      <c r="A7" t="s">
        <v>99</v>
      </c>
    </row>
    <row r="8" ht="13.5">
      <c r="A8" t="s">
        <v>158</v>
      </c>
    </row>
    <row r="9" ht="13.5">
      <c r="A9" t="s">
        <v>98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showGridLines="0" zoomScale="75" zoomScaleNormal="75" workbookViewId="0" topLeftCell="A1">
      <selection activeCell="D20" sqref="D20"/>
    </sheetView>
  </sheetViews>
  <sheetFormatPr defaultColWidth="9.00390625" defaultRowHeight="13.5"/>
  <cols>
    <col min="1" max="1" width="2.375" style="0" customWidth="1"/>
    <col min="2" max="2" width="2.875" style="0" bestFit="1" customWidth="1"/>
    <col min="3" max="3" width="12.75390625" style="0" bestFit="1" customWidth="1"/>
    <col min="4" max="4" width="22.75390625" style="0" bestFit="1" customWidth="1"/>
  </cols>
  <sheetData>
    <row r="1" ht="13.5">
      <c r="A1" t="s">
        <v>11</v>
      </c>
    </row>
    <row r="2" ht="13.5">
      <c r="A2" t="s">
        <v>12</v>
      </c>
    </row>
    <row r="3" ht="13.5">
      <c r="A3" t="s">
        <v>13</v>
      </c>
    </row>
    <row r="4" spans="2:4" ht="13.5">
      <c r="B4" s="1" t="s">
        <v>14</v>
      </c>
      <c r="C4" s="1">
        <v>6378137</v>
      </c>
      <c r="D4" s="1" t="s">
        <v>15</v>
      </c>
    </row>
    <row r="5" spans="2:4" ht="13.5">
      <c r="B5" s="1" t="s">
        <v>16</v>
      </c>
      <c r="C5" s="1">
        <f>1/298.257222101</f>
        <v>0.003352810681182319</v>
      </c>
      <c r="D5" s="1" t="s">
        <v>17</v>
      </c>
    </row>
    <row r="6" ht="13.5">
      <c r="A6" t="s">
        <v>18</v>
      </c>
    </row>
    <row r="7" spans="2:4" ht="13.5">
      <c r="B7" s="1" t="s">
        <v>14</v>
      </c>
      <c r="C7" s="1">
        <v>6377397.155</v>
      </c>
      <c r="D7" s="1" t="s">
        <v>19</v>
      </c>
    </row>
    <row r="8" spans="2:4" ht="13.5">
      <c r="B8" s="1" t="s">
        <v>16</v>
      </c>
      <c r="C8" s="1">
        <f>1/299.152813</f>
        <v>0.0033427731799399794</v>
      </c>
      <c r="D8" s="1" t="s">
        <v>20</v>
      </c>
    </row>
    <row r="10" ht="13.5">
      <c r="A10" t="s">
        <v>21</v>
      </c>
    </row>
    <row r="11" ht="13.5">
      <c r="A11" t="s">
        <v>13</v>
      </c>
    </row>
    <row r="12" spans="2:4" ht="13.5">
      <c r="B12" s="1" t="s">
        <v>22</v>
      </c>
      <c r="C12" s="1">
        <f>SQRT(2*f_jgd2k-f_jgd2k^2)</f>
        <v>0.08181919104281579</v>
      </c>
      <c r="D12" s="1" t="s">
        <v>23</v>
      </c>
    </row>
    <row r="13" spans="2:4" ht="13.5">
      <c r="B13" s="1" t="s">
        <v>10</v>
      </c>
      <c r="C13" s="1">
        <f>SQRT(e_jgd2k^2/(1-e_jgd2k^2))</f>
        <v>0.08209443815191719</v>
      </c>
      <c r="D13" s="1" t="s">
        <v>24</v>
      </c>
    </row>
    <row r="14" ht="13.5">
      <c r="A14" t="s">
        <v>18</v>
      </c>
    </row>
    <row r="15" spans="2:4" ht="13.5">
      <c r="B15" s="1" t="s">
        <v>22</v>
      </c>
      <c r="C15" s="1">
        <f>SQRT(2*f_Tokyo-f_Tokyo^2)</f>
        <v>0.08169683119526383</v>
      </c>
      <c r="D15" s="1" t="s">
        <v>25</v>
      </c>
    </row>
    <row r="16" spans="2:4" ht="13.5">
      <c r="B16" s="1" t="s">
        <v>10</v>
      </c>
      <c r="C16" s="1">
        <f>SQRT(e_Tokyo^2/(1-e_Tokyo^2))</f>
        <v>0.08197084112451197</v>
      </c>
      <c r="D16" s="1" t="s">
        <v>26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showGridLines="0" zoomScale="75" zoomScaleNormal="75" workbookViewId="0" topLeftCell="A1">
      <selection activeCell="J28" sqref="J28"/>
    </sheetView>
  </sheetViews>
  <sheetFormatPr defaultColWidth="9.00390625" defaultRowHeight="13.5"/>
  <cols>
    <col min="1" max="1" width="3.375" style="0" customWidth="1"/>
    <col min="2" max="2" width="5.25390625" style="0" bestFit="1" customWidth="1"/>
    <col min="3" max="3" width="7.75390625" style="0" bestFit="1" customWidth="1"/>
    <col min="4" max="4" width="4.25390625" style="0" bestFit="1" customWidth="1"/>
    <col min="5" max="5" width="4.00390625" style="0" bestFit="1" customWidth="1"/>
    <col min="6" max="6" width="4.125" style="0" bestFit="1" customWidth="1"/>
    <col min="7" max="8" width="4.00390625" style="0" bestFit="1" customWidth="1"/>
    <col min="9" max="9" width="12.00390625" style="0" bestFit="1" customWidth="1"/>
    <col min="10" max="10" width="10.75390625" style="0" bestFit="1" customWidth="1"/>
    <col min="11" max="12" width="9.75390625" style="0" bestFit="1" customWidth="1"/>
    <col min="13" max="13" width="55.00390625" style="0" bestFit="1" customWidth="1"/>
  </cols>
  <sheetData>
    <row r="1" ht="13.5">
      <c r="A1" t="s">
        <v>126</v>
      </c>
    </row>
    <row r="2" spans="2:13" ht="13.5">
      <c r="B2" s="51" t="s">
        <v>27</v>
      </c>
      <c r="C2" s="55" t="s">
        <v>28</v>
      </c>
      <c r="D2" s="56"/>
      <c r="E2" s="56"/>
      <c r="F2" s="56"/>
      <c r="G2" s="56"/>
      <c r="H2" s="56"/>
      <c r="I2" s="56"/>
      <c r="J2" s="56"/>
      <c r="K2" s="56"/>
      <c r="L2" s="57"/>
      <c r="M2" s="48" t="s">
        <v>106</v>
      </c>
    </row>
    <row r="3" spans="2:13" ht="13.5">
      <c r="B3" s="52"/>
      <c r="C3" s="54" t="s">
        <v>29</v>
      </c>
      <c r="D3" s="54"/>
      <c r="E3" s="54"/>
      <c r="F3" s="54" t="s">
        <v>30</v>
      </c>
      <c r="G3" s="54"/>
      <c r="H3" s="54"/>
      <c r="I3" s="34" t="s">
        <v>35</v>
      </c>
      <c r="J3" s="25" t="s">
        <v>36</v>
      </c>
      <c r="K3" s="25" t="s">
        <v>35</v>
      </c>
      <c r="L3" s="25" t="s">
        <v>36</v>
      </c>
      <c r="M3" s="49"/>
    </row>
    <row r="4" spans="2:13" ht="13.5">
      <c r="B4" s="53"/>
      <c r="C4" s="31" t="s">
        <v>33</v>
      </c>
      <c r="D4" s="32" t="s">
        <v>32</v>
      </c>
      <c r="E4" s="33" t="s">
        <v>34</v>
      </c>
      <c r="F4" s="31" t="s">
        <v>33</v>
      </c>
      <c r="G4" s="32" t="s">
        <v>32</v>
      </c>
      <c r="H4" s="33" t="s">
        <v>34</v>
      </c>
      <c r="I4" s="23" t="s">
        <v>127</v>
      </c>
      <c r="J4" s="24" t="s">
        <v>127</v>
      </c>
      <c r="K4" s="24" t="s">
        <v>37</v>
      </c>
      <c r="L4" s="24" t="s">
        <v>37</v>
      </c>
      <c r="M4" s="50"/>
    </row>
    <row r="5" spans="2:13" ht="13.5">
      <c r="B5" s="2">
        <v>1</v>
      </c>
      <c r="C5" s="29">
        <v>129</v>
      </c>
      <c r="D5" s="40">
        <v>30</v>
      </c>
      <c r="E5" s="41">
        <v>0</v>
      </c>
      <c r="F5" s="29">
        <v>33</v>
      </c>
      <c r="G5" s="40">
        <v>0</v>
      </c>
      <c r="H5" s="41">
        <v>0</v>
      </c>
      <c r="I5" s="35">
        <f aca="true" t="shared" si="0" ref="I5:I23">C5+D5/60+E5/3600</f>
        <v>129.5</v>
      </c>
      <c r="J5" s="8">
        <f aca="true" t="shared" si="1" ref="J5:J23">F5+G5/60+H5/3600</f>
        <v>33</v>
      </c>
      <c r="K5" s="8">
        <f aca="true" t="shared" si="2" ref="K5:K23">I5/180*PI()</f>
        <v>2.260201381332657</v>
      </c>
      <c r="L5" s="8">
        <f aca="true" t="shared" si="3" ref="L5:L23">J5/180*PI()</f>
        <v>0.5759586531581287</v>
      </c>
      <c r="M5" s="1" t="s">
        <v>104</v>
      </c>
    </row>
    <row r="6" spans="2:13" ht="13.5">
      <c r="B6" s="2">
        <v>2</v>
      </c>
      <c r="C6" s="29">
        <v>131</v>
      </c>
      <c r="D6" s="40">
        <v>0</v>
      </c>
      <c r="E6" s="41">
        <v>0</v>
      </c>
      <c r="F6" s="29">
        <v>33</v>
      </c>
      <c r="G6" s="40">
        <v>0</v>
      </c>
      <c r="H6" s="41">
        <v>0</v>
      </c>
      <c r="I6" s="35">
        <f t="shared" si="0"/>
        <v>131</v>
      </c>
      <c r="J6" s="8">
        <f t="shared" si="1"/>
        <v>33</v>
      </c>
      <c r="K6" s="8">
        <f t="shared" si="2"/>
        <v>2.2863813201125716</v>
      </c>
      <c r="L6" s="8">
        <f t="shared" si="3"/>
        <v>0.5759586531581287</v>
      </c>
      <c r="M6" s="1" t="s">
        <v>105</v>
      </c>
    </row>
    <row r="7" spans="2:13" ht="13.5">
      <c r="B7" s="2">
        <v>3</v>
      </c>
      <c r="C7" s="29">
        <v>132</v>
      </c>
      <c r="D7" s="40">
        <v>10</v>
      </c>
      <c r="E7" s="41">
        <v>0</v>
      </c>
      <c r="F7" s="29">
        <v>36</v>
      </c>
      <c r="G7" s="40">
        <v>0</v>
      </c>
      <c r="H7" s="41">
        <v>0</v>
      </c>
      <c r="I7" s="35">
        <f t="shared" si="0"/>
        <v>132.16666666666666</v>
      </c>
      <c r="J7" s="8">
        <f t="shared" si="1"/>
        <v>36</v>
      </c>
      <c r="K7" s="8">
        <f t="shared" si="2"/>
        <v>2.306743494719172</v>
      </c>
      <c r="L7" s="8">
        <f t="shared" si="3"/>
        <v>0.6283185307179586</v>
      </c>
      <c r="M7" s="1" t="s">
        <v>107</v>
      </c>
    </row>
    <row r="8" spans="2:13" ht="13.5">
      <c r="B8" s="2">
        <v>4</v>
      </c>
      <c r="C8" s="29">
        <v>133</v>
      </c>
      <c r="D8" s="40">
        <v>30</v>
      </c>
      <c r="E8" s="41">
        <v>0</v>
      </c>
      <c r="F8" s="29">
        <v>33</v>
      </c>
      <c r="G8" s="40">
        <v>0</v>
      </c>
      <c r="H8" s="41">
        <v>0</v>
      </c>
      <c r="I8" s="35">
        <f t="shared" si="0"/>
        <v>133.5</v>
      </c>
      <c r="J8" s="8">
        <f t="shared" si="1"/>
        <v>33</v>
      </c>
      <c r="K8" s="8">
        <f t="shared" si="2"/>
        <v>2.33001455141243</v>
      </c>
      <c r="L8" s="8">
        <f t="shared" si="3"/>
        <v>0.5759586531581287</v>
      </c>
      <c r="M8" s="1" t="s">
        <v>108</v>
      </c>
    </row>
    <row r="9" spans="2:13" ht="13.5">
      <c r="B9" s="2">
        <v>5</v>
      </c>
      <c r="C9" s="29">
        <v>134</v>
      </c>
      <c r="D9" s="40">
        <v>20</v>
      </c>
      <c r="E9" s="41">
        <v>0</v>
      </c>
      <c r="F9" s="29">
        <v>36</v>
      </c>
      <c r="G9" s="40">
        <v>0</v>
      </c>
      <c r="H9" s="41">
        <v>0</v>
      </c>
      <c r="I9" s="35">
        <f t="shared" si="0"/>
        <v>134.33333333333334</v>
      </c>
      <c r="J9" s="8">
        <f t="shared" si="1"/>
        <v>36</v>
      </c>
      <c r="K9" s="8">
        <f t="shared" si="2"/>
        <v>2.344558961845716</v>
      </c>
      <c r="L9" s="8">
        <f t="shared" si="3"/>
        <v>0.6283185307179586</v>
      </c>
      <c r="M9" s="1" t="s">
        <v>112</v>
      </c>
    </row>
    <row r="10" spans="2:13" ht="13.5">
      <c r="B10" s="2">
        <v>6</v>
      </c>
      <c r="C10" s="29">
        <v>136</v>
      </c>
      <c r="D10" s="40">
        <v>0</v>
      </c>
      <c r="E10" s="41">
        <v>0</v>
      </c>
      <c r="F10" s="29">
        <v>36</v>
      </c>
      <c r="G10" s="40">
        <v>0</v>
      </c>
      <c r="H10" s="41">
        <v>0</v>
      </c>
      <c r="I10" s="35">
        <f t="shared" si="0"/>
        <v>136</v>
      </c>
      <c r="J10" s="8">
        <f t="shared" si="1"/>
        <v>36</v>
      </c>
      <c r="K10" s="8">
        <f t="shared" si="2"/>
        <v>2.373647782712288</v>
      </c>
      <c r="L10" s="8">
        <f t="shared" si="3"/>
        <v>0.6283185307179586</v>
      </c>
      <c r="M10" s="1" t="s">
        <v>109</v>
      </c>
    </row>
    <row r="11" spans="2:13" ht="13.5">
      <c r="B11" s="2">
        <v>7</v>
      </c>
      <c r="C11" s="29">
        <v>137</v>
      </c>
      <c r="D11" s="40">
        <v>10</v>
      </c>
      <c r="E11" s="41">
        <v>0</v>
      </c>
      <c r="F11" s="29">
        <v>36</v>
      </c>
      <c r="G11" s="40">
        <v>0</v>
      </c>
      <c r="H11" s="41">
        <v>0</v>
      </c>
      <c r="I11" s="35">
        <f t="shared" si="0"/>
        <v>137.16666666666666</v>
      </c>
      <c r="J11" s="8">
        <f t="shared" si="1"/>
        <v>36</v>
      </c>
      <c r="K11" s="8">
        <f t="shared" si="2"/>
        <v>2.394009957318888</v>
      </c>
      <c r="L11" s="8">
        <f t="shared" si="3"/>
        <v>0.6283185307179586</v>
      </c>
      <c r="M11" s="1" t="s">
        <v>110</v>
      </c>
    </row>
    <row r="12" spans="2:13" ht="13.5">
      <c r="B12" s="27">
        <v>8</v>
      </c>
      <c r="C12" s="30">
        <v>138</v>
      </c>
      <c r="D12" s="42">
        <v>30</v>
      </c>
      <c r="E12" s="43">
        <v>0</v>
      </c>
      <c r="F12" s="30">
        <v>36</v>
      </c>
      <c r="G12" s="42">
        <v>0</v>
      </c>
      <c r="H12" s="43">
        <v>0</v>
      </c>
      <c r="I12" s="36">
        <f t="shared" si="0"/>
        <v>138.5</v>
      </c>
      <c r="J12" s="28">
        <f t="shared" si="1"/>
        <v>36</v>
      </c>
      <c r="K12" s="28">
        <f t="shared" si="2"/>
        <v>2.4172810140121466</v>
      </c>
      <c r="L12" s="28">
        <f t="shared" si="3"/>
        <v>0.6283185307179586</v>
      </c>
      <c r="M12" s="26" t="s">
        <v>111</v>
      </c>
    </row>
    <row r="13" spans="2:13" ht="13.5">
      <c r="B13" s="2">
        <v>9</v>
      </c>
      <c r="C13" s="29">
        <v>139</v>
      </c>
      <c r="D13" s="40">
        <v>50</v>
      </c>
      <c r="E13" s="41">
        <v>0</v>
      </c>
      <c r="F13" s="29">
        <v>36</v>
      </c>
      <c r="G13" s="40">
        <v>0</v>
      </c>
      <c r="H13" s="41">
        <v>0</v>
      </c>
      <c r="I13" s="35">
        <f t="shared" si="0"/>
        <v>139.83333333333334</v>
      </c>
      <c r="J13" s="8">
        <f t="shared" si="1"/>
        <v>36</v>
      </c>
      <c r="K13" s="8">
        <f t="shared" si="2"/>
        <v>2.4405520707054045</v>
      </c>
      <c r="L13" s="8">
        <f t="shared" si="3"/>
        <v>0.6283185307179586</v>
      </c>
      <c r="M13" s="1" t="s">
        <v>113</v>
      </c>
    </row>
    <row r="14" spans="2:13" ht="13.5">
      <c r="B14" s="2">
        <v>10</v>
      </c>
      <c r="C14" s="29">
        <v>140</v>
      </c>
      <c r="D14" s="40">
        <v>50</v>
      </c>
      <c r="E14" s="41">
        <v>0</v>
      </c>
      <c r="F14" s="29">
        <v>40</v>
      </c>
      <c r="G14" s="40">
        <v>0</v>
      </c>
      <c r="H14" s="41">
        <v>0</v>
      </c>
      <c r="I14" s="35">
        <f t="shared" si="0"/>
        <v>140.83333333333334</v>
      </c>
      <c r="J14" s="8">
        <f t="shared" si="1"/>
        <v>40</v>
      </c>
      <c r="K14" s="8">
        <f t="shared" si="2"/>
        <v>2.4580053632253476</v>
      </c>
      <c r="L14" s="8">
        <f t="shared" si="3"/>
        <v>0.6981317007977318</v>
      </c>
      <c r="M14" s="1" t="s">
        <v>114</v>
      </c>
    </row>
    <row r="15" spans="2:13" ht="13.5">
      <c r="B15" s="2">
        <v>11</v>
      </c>
      <c r="C15" s="29">
        <v>140</v>
      </c>
      <c r="D15" s="40">
        <v>15</v>
      </c>
      <c r="E15" s="41">
        <v>0</v>
      </c>
      <c r="F15" s="29">
        <v>44</v>
      </c>
      <c r="G15" s="40">
        <v>0</v>
      </c>
      <c r="H15" s="41">
        <v>0</v>
      </c>
      <c r="I15" s="35">
        <f t="shared" si="0"/>
        <v>140.25</v>
      </c>
      <c r="J15" s="8">
        <f t="shared" si="1"/>
        <v>44</v>
      </c>
      <c r="K15" s="8">
        <f t="shared" si="2"/>
        <v>2.447824275922047</v>
      </c>
      <c r="L15" s="8">
        <f t="shared" si="3"/>
        <v>0.767944870877505</v>
      </c>
      <c r="M15" s="1" t="s">
        <v>115</v>
      </c>
    </row>
    <row r="16" spans="2:13" ht="13.5">
      <c r="B16" s="2">
        <v>12</v>
      </c>
      <c r="C16" s="29">
        <v>142</v>
      </c>
      <c r="D16" s="40">
        <v>15</v>
      </c>
      <c r="E16" s="41">
        <v>0</v>
      </c>
      <c r="F16" s="29">
        <v>44</v>
      </c>
      <c r="G16" s="40">
        <v>0</v>
      </c>
      <c r="H16" s="41">
        <v>0</v>
      </c>
      <c r="I16" s="35">
        <f t="shared" si="0"/>
        <v>142.25</v>
      </c>
      <c r="J16" s="8">
        <f t="shared" si="1"/>
        <v>44</v>
      </c>
      <c r="K16" s="8">
        <f t="shared" si="2"/>
        <v>2.4827308609619334</v>
      </c>
      <c r="L16" s="8">
        <f t="shared" si="3"/>
        <v>0.767944870877505</v>
      </c>
      <c r="M16" s="1" t="s">
        <v>116</v>
      </c>
    </row>
    <row r="17" spans="2:13" ht="13.5">
      <c r="B17" s="2">
        <v>13</v>
      </c>
      <c r="C17" s="29">
        <v>144</v>
      </c>
      <c r="D17" s="40">
        <v>15</v>
      </c>
      <c r="E17" s="41">
        <v>0</v>
      </c>
      <c r="F17" s="29">
        <v>44</v>
      </c>
      <c r="G17" s="40">
        <v>0</v>
      </c>
      <c r="H17" s="41">
        <v>0</v>
      </c>
      <c r="I17" s="35">
        <f t="shared" si="0"/>
        <v>144.25</v>
      </c>
      <c r="J17" s="8">
        <f t="shared" si="1"/>
        <v>44</v>
      </c>
      <c r="K17" s="8">
        <f t="shared" si="2"/>
        <v>2.5176374460018205</v>
      </c>
      <c r="L17" s="8">
        <f t="shared" si="3"/>
        <v>0.767944870877505</v>
      </c>
      <c r="M17" s="1" t="s">
        <v>117</v>
      </c>
    </row>
    <row r="18" spans="2:13" ht="13.5">
      <c r="B18" s="2">
        <v>14</v>
      </c>
      <c r="C18" s="29">
        <v>142</v>
      </c>
      <c r="D18" s="40">
        <v>0</v>
      </c>
      <c r="E18" s="41">
        <v>0</v>
      </c>
      <c r="F18" s="29">
        <v>26</v>
      </c>
      <c r="G18" s="40">
        <v>0</v>
      </c>
      <c r="H18" s="41">
        <v>0</v>
      </c>
      <c r="I18" s="35">
        <f t="shared" si="0"/>
        <v>142</v>
      </c>
      <c r="J18" s="8">
        <f t="shared" si="1"/>
        <v>26</v>
      </c>
      <c r="K18" s="8">
        <f t="shared" si="2"/>
        <v>2.478367537831948</v>
      </c>
      <c r="L18" s="8">
        <f t="shared" si="3"/>
        <v>0.45378560551852565</v>
      </c>
      <c r="M18" s="1" t="s">
        <v>123</v>
      </c>
    </row>
    <row r="19" spans="2:13" ht="13.5">
      <c r="B19" s="2">
        <v>15</v>
      </c>
      <c r="C19" s="29">
        <v>127</v>
      </c>
      <c r="D19" s="40">
        <v>30</v>
      </c>
      <c r="E19" s="41">
        <v>0</v>
      </c>
      <c r="F19" s="29">
        <v>26</v>
      </c>
      <c r="G19" s="40">
        <v>0</v>
      </c>
      <c r="H19" s="41">
        <v>0</v>
      </c>
      <c r="I19" s="35">
        <f t="shared" si="0"/>
        <v>127.5</v>
      </c>
      <c r="J19" s="8">
        <f t="shared" si="1"/>
        <v>26</v>
      </c>
      <c r="K19" s="8">
        <f t="shared" si="2"/>
        <v>2.2252947962927703</v>
      </c>
      <c r="L19" s="8">
        <f t="shared" si="3"/>
        <v>0.45378560551852565</v>
      </c>
      <c r="M19" s="1" t="s">
        <v>118</v>
      </c>
    </row>
    <row r="20" spans="2:13" ht="13.5">
      <c r="B20" s="2">
        <v>16</v>
      </c>
      <c r="C20" s="29">
        <v>124</v>
      </c>
      <c r="D20" s="40">
        <v>0</v>
      </c>
      <c r="E20" s="41">
        <v>0</v>
      </c>
      <c r="F20" s="29">
        <v>26</v>
      </c>
      <c r="G20" s="40">
        <v>0</v>
      </c>
      <c r="H20" s="41">
        <v>0</v>
      </c>
      <c r="I20" s="35">
        <f t="shared" si="0"/>
        <v>124</v>
      </c>
      <c r="J20" s="8">
        <f t="shared" si="1"/>
        <v>26</v>
      </c>
      <c r="K20" s="8">
        <f t="shared" si="2"/>
        <v>2.1642082724729685</v>
      </c>
      <c r="L20" s="8">
        <f t="shared" si="3"/>
        <v>0.45378560551852565</v>
      </c>
      <c r="M20" s="1" t="s">
        <v>119</v>
      </c>
    </row>
    <row r="21" spans="2:13" ht="13.5">
      <c r="B21" s="2">
        <v>17</v>
      </c>
      <c r="C21" s="29">
        <v>131</v>
      </c>
      <c r="D21" s="40">
        <v>0</v>
      </c>
      <c r="E21" s="41">
        <v>0</v>
      </c>
      <c r="F21" s="29">
        <v>26</v>
      </c>
      <c r="G21" s="40">
        <v>0</v>
      </c>
      <c r="H21" s="41">
        <v>0</v>
      </c>
      <c r="I21" s="35">
        <f t="shared" si="0"/>
        <v>131</v>
      </c>
      <c r="J21" s="8">
        <f t="shared" si="1"/>
        <v>26</v>
      </c>
      <c r="K21" s="8">
        <f t="shared" si="2"/>
        <v>2.2863813201125716</v>
      </c>
      <c r="L21" s="8">
        <f t="shared" si="3"/>
        <v>0.45378560551852565</v>
      </c>
      <c r="M21" s="1" t="s">
        <v>120</v>
      </c>
    </row>
    <row r="22" spans="2:13" ht="13.5">
      <c r="B22" s="2">
        <v>18</v>
      </c>
      <c r="C22" s="29">
        <v>136</v>
      </c>
      <c r="D22" s="40">
        <v>0</v>
      </c>
      <c r="E22" s="41">
        <v>0</v>
      </c>
      <c r="F22" s="29">
        <v>26</v>
      </c>
      <c r="G22" s="40">
        <v>0</v>
      </c>
      <c r="H22" s="41">
        <v>0</v>
      </c>
      <c r="I22" s="35">
        <f t="shared" si="0"/>
        <v>136</v>
      </c>
      <c r="J22" s="8">
        <f t="shared" si="1"/>
        <v>26</v>
      </c>
      <c r="K22" s="8">
        <f t="shared" si="2"/>
        <v>2.373647782712288</v>
      </c>
      <c r="L22" s="8">
        <f t="shared" si="3"/>
        <v>0.45378560551852565</v>
      </c>
      <c r="M22" s="1" t="s">
        <v>121</v>
      </c>
    </row>
    <row r="23" spans="2:13" ht="13.5">
      <c r="B23" s="2">
        <v>19</v>
      </c>
      <c r="C23" s="29">
        <v>154</v>
      </c>
      <c r="D23" s="40">
        <v>0</v>
      </c>
      <c r="E23" s="41">
        <v>0</v>
      </c>
      <c r="F23" s="29">
        <v>26</v>
      </c>
      <c r="G23" s="40">
        <v>0</v>
      </c>
      <c r="H23" s="41">
        <v>0</v>
      </c>
      <c r="I23" s="35">
        <f t="shared" si="0"/>
        <v>154</v>
      </c>
      <c r="J23" s="8">
        <f t="shared" si="1"/>
        <v>26</v>
      </c>
      <c r="K23" s="8">
        <f t="shared" si="2"/>
        <v>2.6878070480712672</v>
      </c>
      <c r="L23" s="8">
        <f t="shared" si="3"/>
        <v>0.45378560551852565</v>
      </c>
      <c r="M23" s="1" t="s">
        <v>122</v>
      </c>
    </row>
    <row r="25" ht="13.5">
      <c r="A25" t="s">
        <v>38</v>
      </c>
    </row>
    <row r="26" spans="2:3" ht="13.5">
      <c r="B26" t="s">
        <v>39</v>
      </c>
      <c r="C26" s="9">
        <v>0.9999</v>
      </c>
    </row>
    <row r="28" ht="13.5">
      <c r="A28" t="s">
        <v>125</v>
      </c>
    </row>
  </sheetData>
  <mergeCells count="5">
    <mergeCell ref="M2:M4"/>
    <mergeCell ref="B2:B4"/>
    <mergeCell ref="C3:E3"/>
    <mergeCell ref="F3:H3"/>
    <mergeCell ref="C2:L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</dc:creator>
  <cp:keywords/>
  <dc:description/>
  <cp:lastModifiedBy>user</cp:lastModifiedBy>
  <dcterms:created xsi:type="dcterms:W3CDTF">2005-10-30T23:48:39Z</dcterms:created>
  <dcterms:modified xsi:type="dcterms:W3CDTF">2005-11-14T12:07:37Z</dcterms:modified>
  <cp:category/>
  <cp:version/>
  <cp:contentType/>
  <cp:contentStatus/>
</cp:coreProperties>
</file>