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5480" windowHeight="4830" activeTab="0"/>
  </bookViews>
  <sheets>
    <sheet name="spmcalc3" sheetId="1" r:id="rId1"/>
  </sheets>
  <definedNames/>
  <calcPr fullCalcOnLoad="1"/>
</workbook>
</file>

<file path=xl/sharedStrings.xml><?xml version="1.0" encoding="utf-8"?>
<sst xmlns="http://schemas.openxmlformats.org/spreadsheetml/2006/main" count="227" uniqueCount="139">
  <si>
    <t>ＳＰＭ－Ｙ液</t>
  </si>
  <si>
    <t>ＳＰＭ－Ｋ液</t>
  </si>
  <si>
    <t>ＳＰＭ－Ｎ液（入浴剤）</t>
  </si>
  <si>
    <t>ＳＰＭ液の薄め液Ａ</t>
  </si>
  <si>
    <t>１０００ｇ</t>
  </si>
  <si>
    <t>１００ｇ</t>
  </si>
  <si>
    <t>６０ｇ</t>
  </si>
  <si>
    <t>郵送料</t>
  </si>
  <si>
    <t>地域</t>
  </si>
  <si>
    <t>サイズ</t>
  </si>
  <si>
    <t>ゆうパック</t>
  </si>
  <si>
    <t>レターパックライト</t>
  </si>
  <si>
    <t>レターパックプラス</t>
  </si>
  <si>
    <t>定形外１００ｇ</t>
  </si>
  <si>
    <t>定形外１５０ｇ</t>
  </si>
  <si>
    <t>定形外２５０ｇ</t>
  </si>
  <si>
    <t>定形外５００ｇ</t>
  </si>
  <si>
    <t>定形外１ｋｇ</t>
  </si>
  <si>
    <t>定形外２ｋｇ</t>
  </si>
  <si>
    <t>価格</t>
  </si>
  <si>
    <t>合計</t>
  </si>
  <si>
    <t>岐阜、愛知、静岡、三重</t>
  </si>
  <si>
    <t>関東、信越、北陸、近畿</t>
  </si>
  <si>
    <t>東北、中国、四国</t>
  </si>
  <si>
    <t>九州</t>
  </si>
  <si>
    <t>北海道</t>
  </si>
  <si>
    <t>沖縄</t>
  </si>
  <si>
    <t>ＳＰＭ－Ｋ液</t>
  </si>
  <si>
    <t>発送方法</t>
  </si>
  <si>
    <t>ＳＰＭ－Ｙ３液</t>
  </si>
  <si>
    <t>ＳＰＭ－Ｙ６液</t>
  </si>
  <si>
    <t>ＳＰＭ－ＹＢ液</t>
  </si>
  <si>
    <t>ＳＰＭ液の薄め液Ｂ</t>
  </si>
  <si>
    <t>ＳＰＭ－ＹＢ３液</t>
  </si>
  <si>
    <t>ＳＰＭ－ＹＢ６液</t>
  </si>
  <si>
    <t>個数</t>
  </si>
  <si>
    <t>スターターズ、幼児・敏感肌キット複数依頼時の値引き（入浴剤の値引き）</t>
  </si>
  <si>
    <t>円</t>
  </si>
  <si>
    <t>入浴剤の個数による値引き</t>
  </si>
  <si>
    <t>入浴剤の値引き後の合計価格</t>
  </si>
  <si>
    <t>サイズは６０、８０、１００から選ぶ</t>
  </si>
  <si>
    <t>（サイズとは箱の縦横高さの合計ｃｍ）</t>
  </si>
  <si>
    <t>チルド</t>
  </si>
  <si>
    <t>チルドゆうパック（保冷扱い）</t>
  </si>
  <si>
    <t>あり：１</t>
  </si>
  <si>
    <t>代金引換</t>
  </si>
  <si>
    <t>ゆうパックの配達地域</t>
  </si>
  <si>
    <t>見積もり合計</t>
  </si>
  <si>
    <t>ＳＰＭ液の価格合計</t>
  </si>
  <si>
    <t>郵送料合計</t>
  </si>
  <si>
    <t>見積もり全合計</t>
  </si>
  <si>
    <t>１０００ｇ容器２個まで６０サイズ、３～６個は８０サイズ</t>
  </si>
  <si>
    <t>３９０円</t>
  </si>
  <si>
    <t>６０：２２０円、８０：３５０円</t>
  </si>
  <si>
    <t>レターパックライトは入浴剤２袋まで、６０ｇ容器８個まで</t>
  </si>
  <si>
    <t>ＳＰＭ液見積の計算</t>
  </si>
  <si>
    <t>ＳＰＭ液の種類</t>
  </si>
  <si>
    <t>１．必要な液、容器に個数を入れてください。スターターズキットや幼児キットはｾｯﾄ数の所に個数を入れてください。</t>
  </si>
  <si>
    <t>ＳＰＭ－ＫＴ液</t>
  </si>
  <si>
    <t>定形外２５０ｇの重量は、「封筒１０ｇ」＋「ＳＰＭ液の一覧と価格表４ｇ」＝１９ｇを加算</t>
  </si>
  <si>
    <t>定形外１５０ｇの重量は、「封筒　５ｇ」＋「ＳＰＭ液の一覧と価格表４ｇ」＝　９ｇを加算</t>
  </si>
  <si>
    <t>ジェル</t>
  </si>
  <si>
    <t>重量(g)</t>
  </si>
  <si>
    <t>ＳＰＭ－Ｙ液、ＹＪ液</t>
  </si>
  <si>
    <t>ＳＰＭ－Ｙ３液、Ｙ３Ｊ液</t>
  </si>
  <si>
    <t>ＳＰＭ－Ｙ６液、Ｙ６Ｊ液</t>
  </si>
  <si>
    <t>ＳＰＭ－ＹＷ液、ＹＷＪ液</t>
  </si>
  <si>
    <t>ＳＰＭ－Ｈ液、ＨＪ液</t>
  </si>
  <si>
    <t>ＳＰＭ－Ｈ３液、Ｈ３Ｊ液</t>
  </si>
  <si>
    <t>ＳＰＭ－ＨＷ液、ＨＷＪ液</t>
  </si>
  <si>
    <t>ＳＰＭ－ＹＢ液、ＹＢＪ液</t>
  </si>
  <si>
    <t>ＳＰＭ－ＹＢ３液、ＹＢ３Ｊ液</t>
  </si>
  <si>
    <t>ＳＰＭ－ＹＢ６液、ＹＢ６Ｊ液</t>
  </si>
  <si>
    <t>ＳＰＭ－ＹＢＷ液、ＹＢＷＪ液</t>
  </si>
  <si>
    <t>ＳＰＭ－ＨＢ液、ＨＢＪ液</t>
  </si>
  <si>
    <t>ＳＰＭ－ＨＢ３液、ＨＢ３Ｊ液</t>
  </si>
  <si>
    <t>ＳＰＭ－ＨＢ６液、ＨＢ６Ｊ液</t>
  </si>
  <si>
    <t>ＳＰＭ－ＨＢＷ液、ＨＢＷＪ液</t>
  </si>
  <si>
    <t>ＳＰＭ液の薄め液Ａ、ＡＪ</t>
  </si>
  <si>
    <t>ＳＰＭ液の薄め液Ｂ、ＢＪ</t>
  </si>
  <si>
    <t>ＳＰＭ－ＹＪ液</t>
  </si>
  <si>
    <t>スターターズキットＡ（アルコール入り）</t>
  </si>
  <si>
    <t>幼児・敏感肌キットＡ（アルコール入り）</t>
  </si>
  <si>
    <t>スターターズキットＢ（アルコールゼロ）</t>
  </si>
  <si>
    <t>幼児・敏感肌キットＢ（アルコールゼロ）</t>
  </si>
  <si>
    <t>ＳＰＭ－ＹＢ液</t>
  </si>
  <si>
    <t>ＳＰＭ液の薄め液Ｂ</t>
  </si>
  <si>
    <t>ＳＰＭ－ＹB３液</t>
  </si>
  <si>
    <t>ＳＰＭ－ＹB３Ｊ液</t>
  </si>
  <si>
    <t>ＳＰＭ－ＫＷ液</t>
  </si>
  <si>
    <t>ＳＰＭ－ＫＴ液</t>
  </si>
  <si>
    <t>３．下左側に、見積もり金額を表示します。</t>
  </si>
  <si>
    <t>注：基本的な計算方法は、各ＳＰＭ液に対して、２本以上は１／１．１倍して、下２桁は切り捨てる。入浴剤は下１桁切り捨て。</t>
  </si>
  <si>
    <t>　　その他の郵便物の場合、発送方法の該当箇所に数字１を入れてください。</t>
  </si>
  <si>
    <t>２．郵送料は、ゆうパックの場合、発送方法に地域（１～６）、サイズ（６０、８０）、代金引換（１）、チルド（１）を入れてください。</t>
  </si>
  <si>
    <t>ＳＰＭ－ＹBＪ液</t>
  </si>
  <si>
    <t>ＳＰＭ－Ｙ液</t>
  </si>
  <si>
    <t>選択式SPM液（ご希望のＳＰＭ液の個数に必要個数を入れてください）</t>
  </si>
  <si>
    <t>スターターズ（通常肌）向け：Ｓ　幼児敏感肌向け：Ｄ</t>
  </si>
  <si>
    <t>ＳＰＭ－Ｙ３Ｊ液</t>
  </si>
  <si>
    <t>アルコール入り：Ａ　アルコールゼロ：Ｂ</t>
  </si>
  <si>
    <t>Ａ</t>
  </si>
  <si>
    <t>Ｂ</t>
  </si>
  <si>
    <t>Ｓ</t>
  </si>
  <si>
    <t>Ｄ</t>
  </si>
  <si>
    <t>ＳＤ</t>
  </si>
  <si>
    <t>１００ｇ容器を含む場合</t>
  </si>
  <si>
    <t>ゆうパック</t>
  </si>
  <si>
    <t>１００ｇ容器６個以下</t>
  </si>
  <si>
    <t>定形外、ポスパケット</t>
  </si>
  <si>
    <t>レターパックライト</t>
  </si>
  <si>
    <t>入浴剤２袋</t>
  </si>
  <si>
    <t>６０ｇ容器６個以下＋入浴剤１袋</t>
  </si>
  <si>
    <t>６０ｇ容器１０個以下</t>
  </si>
  <si>
    <t>Ｋ、ＫＷ、ＫＴ液を含み気温の高い時</t>
  </si>
  <si>
    <t>ゆうパック、チルドゆうパック</t>
  </si>
  <si>
    <t>ＳＰＭ－Ｙ３J液</t>
  </si>
  <si>
    <t>ＳＰＭ－ＹＢ３J液</t>
  </si>
  <si>
    <t>入浴剤の個数</t>
  </si>
  <si>
    <t>袋</t>
  </si>
  <si>
    <t>ＳＰＭ－ＫW液</t>
  </si>
  <si>
    <t>ＳＰＭ－ＹＢＪ液</t>
  </si>
  <si>
    <t>例：Ｙ液１０００ｇ１個、ＹＪ液１０００ｇ１個の場合</t>
  </si>
  <si>
    <t>容器１０００ｇにはＹ液とＹＪ液の合計本数</t>
  </si>
  <si>
    <t>ジェルにはジェル化する本数</t>
  </si>
  <si>
    <t>１００価格</t>
  </si>
  <si>
    <t>６０ｇ価格</t>
  </si>
  <si>
    <t>１００ｇ価格</t>
  </si>
  <si>
    <t>１０００ｇ</t>
  </si>
  <si>
    <t>ＳＰＭ入浴剤ＮＰ（粉末５００ｇ）</t>
  </si>
  <si>
    <t>ＳＰＭ入浴剤ＮＰ（粉末５００ｇ）</t>
  </si>
  <si>
    <t>ＳＰＭ入浴剤ＮＰ（粉末５００ｇ）</t>
  </si>
  <si>
    <t>ＳＰＭ入浴剤ＮＰ（粉末５００ｇ）</t>
  </si>
  <si>
    <t>合計</t>
  </si>
  <si>
    <t>全</t>
  </si>
  <si>
    <t>入浴剤</t>
  </si>
  <si>
    <t>郵送料</t>
  </si>
  <si>
    <t>ゆうパケット</t>
  </si>
  <si>
    <t>ゆうパケットは入浴剤１袋まで、６０ｇ容器８個まで、１ｋｇ以下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</si>
</sst>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  <numFmt numFmtId="178" formatCode="&quot;\&quot;#,##0_);[Red]\(&quot;\&quot;#,##0\)"/>
    <numFmt numFmtId="179" formatCode="&quot;\&quot;#,##0_);\(&quot;\&quot;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6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7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horizontal="center" vertical="center"/>
    </xf>
    <xf numFmtId="5" fontId="0" fillId="0" borderId="12" xfId="0" applyNumberFormat="1" applyBorder="1" applyAlignment="1">
      <alignment vertical="center"/>
    </xf>
    <xf numFmtId="5" fontId="0" fillId="0" borderId="11" xfId="0" applyNumberFormat="1" applyBorder="1" applyAlignment="1">
      <alignment vertical="center"/>
    </xf>
    <xf numFmtId="0" fontId="20" fillId="0" borderId="0" xfId="0" applyFont="1" applyAlignment="1">
      <alignment vertical="center"/>
    </xf>
    <xf numFmtId="0" fontId="0" fillId="22" borderId="13" xfId="0" applyFill="1" applyBorder="1" applyAlignment="1">
      <alignment vertical="center"/>
    </xf>
    <xf numFmtId="0" fontId="0" fillId="22" borderId="14" xfId="0" applyFill="1" applyBorder="1" applyAlignment="1">
      <alignment vertical="center"/>
    </xf>
    <xf numFmtId="0" fontId="0" fillId="22" borderId="15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22" borderId="16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7" borderId="15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6" borderId="30" xfId="0" applyFill="1" applyBorder="1" applyAlignment="1">
      <alignment vertical="center"/>
    </xf>
    <xf numFmtId="0" fontId="0" fillId="6" borderId="21" xfId="0" applyFill="1" applyBorder="1" applyAlignment="1">
      <alignment vertical="center"/>
    </xf>
    <xf numFmtId="0" fontId="0" fillId="6" borderId="31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32" xfId="0" applyFont="1" applyBorder="1" applyAlignment="1">
      <alignment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31" fontId="0" fillId="0" borderId="0" xfId="0" applyNumberFormat="1" applyAlignment="1">
      <alignment vertical="center"/>
    </xf>
    <xf numFmtId="0" fontId="0" fillId="0" borderId="34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2" borderId="35" xfId="0" applyFill="1" applyBorder="1" applyAlignment="1">
      <alignment vertical="center"/>
    </xf>
    <xf numFmtId="0" fontId="0" fillId="8" borderId="15" xfId="0" applyFill="1" applyBorder="1" applyAlignment="1">
      <alignment vertical="center"/>
    </xf>
    <xf numFmtId="0" fontId="0" fillId="3" borderId="36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3" fontId="0" fillId="6" borderId="15" xfId="0" applyNumberFormat="1" applyFill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3" borderId="13" xfId="0" applyNumberFormat="1" applyFill="1" applyBorder="1" applyAlignment="1">
      <alignment vertical="center"/>
    </xf>
    <xf numFmtId="3" fontId="0" fillId="22" borderId="15" xfId="0" applyNumberFormat="1" applyFill="1" applyBorder="1" applyAlignment="1">
      <alignment vertical="center"/>
    </xf>
    <xf numFmtId="3" fontId="0" fillId="7" borderId="15" xfId="0" applyNumberFormat="1" applyFill="1" applyBorder="1" applyAlignment="1">
      <alignment vertical="center"/>
    </xf>
    <xf numFmtId="3" fontId="0" fillId="4" borderId="17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" fontId="0" fillId="0" borderId="0" xfId="0" applyNumberFormat="1" applyFill="1" applyBorder="1" applyAlignment="1">
      <alignment vertical="center"/>
    </xf>
    <xf numFmtId="0" fontId="0" fillId="6" borderId="15" xfId="0" applyFill="1" applyBorder="1" applyAlignment="1" applyProtection="1">
      <alignment vertical="center"/>
      <protection locked="0"/>
    </xf>
    <xf numFmtId="0" fontId="0" fillId="23" borderId="0" xfId="0" applyFill="1" applyBorder="1" applyAlignment="1" applyProtection="1">
      <alignment vertical="center"/>
      <protection locked="0"/>
    </xf>
    <xf numFmtId="0" fontId="0" fillId="22" borderId="14" xfId="0" applyFill="1" applyBorder="1" applyAlignment="1" applyProtection="1">
      <alignment vertical="center"/>
      <protection locked="0"/>
    </xf>
    <xf numFmtId="0" fontId="0" fillId="22" borderId="25" xfId="0" applyFill="1" applyBorder="1" applyAlignment="1" applyProtection="1">
      <alignment vertical="center"/>
      <protection locked="0"/>
    </xf>
    <xf numFmtId="0" fontId="0" fillId="21" borderId="25" xfId="0" applyFill="1" applyBorder="1" applyAlignment="1" applyProtection="1">
      <alignment vertical="center"/>
      <protection locked="0"/>
    </xf>
    <xf numFmtId="0" fontId="0" fillId="6" borderId="25" xfId="0" applyFill="1" applyBorder="1" applyAlignment="1" applyProtection="1">
      <alignment vertical="center"/>
      <protection locked="0"/>
    </xf>
    <xf numFmtId="0" fontId="0" fillId="8" borderId="25" xfId="0" applyFill="1" applyBorder="1" applyAlignment="1" applyProtection="1">
      <alignment vertical="center"/>
      <protection locked="0"/>
    </xf>
    <xf numFmtId="0" fontId="0" fillId="4" borderId="25" xfId="0" applyFill="1" applyBorder="1" applyAlignment="1" applyProtection="1">
      <alignment vertical="center"/>
      <protection locked="0"/>
    </xf>
    <xf numFmtId="0" fontId="0" fillId="7" borderId="25" xfId="0" applyFill="1" applyBorder="1" applyAlignment="1" applyProtection="1">
      <alignment vertical="center"/>
      <protection locked="0"/>
    </xf>
    <xf numFmtId="0" fontId="0" fillId="22" borderId="13" xfId="0" applyFill="1" applyBorder="1" applyAlignment="1" applyProtection="1">
      <alignment vertical="center"/>
      <protection/>
    </xf>
    <xf numFmtId="0" fontId="0" fillId="6" borderId="15" xfId="0" applyFill="1" applyBorder="1" applyAlignment="1" applyProtection="1">
      <alignment vertical="center"/>
      <protection/>
    </xf>
    <xf numFmtId="0" fontId="0" fillId="7" borderId="15" xfId="0" applyFill="1" applyBorder="1" applyAlignment="1" applyProtection="1">
      <alignment vertical="center"/>
      <protection/>
    </xf>
    <xf numFmtId="0" fontId="0" fillId="22" borderId="15" xfId="0" applyFill="1" applyBorder="1" applyAlignment="1" applyProtection="1">
      <alignment vertical="center"/>
      <protection/>
    </xf>
    <xf numFmtId="0" fontId="0" fillId="3" borderId="13" xfId="0" applyFill="1" applyBorder="1" applyAlignment="1" applyProtection="1">
      <alignment vertical="center"/>
      <protection locked="0"/>
    </xf>
    <xf numFmtId="0" fontId="0" fillId="22" borderId="15" xfId="0" applyFill="1" applyBorder="1" applyAlignment="1" applyProtection="1">
      <alignment vertical="center"/>
      <protection locked="0"/>
    </xf>
    <xf numFmtId="0" fontId="0" fillId="7" borderId="15" xfId="0" applyFill="1" applyBorder="1" applyAlignment="1" applyProtection="1">
      <alignment vertical="center"/>
      <protection locked="0"/>
    </xf>
    <xf numFmtId="0" fontId="0" fillId="4" borderId="17" xfId="0" applyFill="1" applyBorder="1" applyAlignment="1" applyProtection="1">
      <alignment vertical="center"/>
      <protection locked="0"/>
    </xf>
    <xf numFmtId="0" fontId="0" fillId="0" borderId="40" xfId="0" applyBorder="1" applyAlignment="1" applyProtection="1">
      <alignment horizontal="center" vertical="center"/>
      <protection/>
    </xf>
    <xf numFmtId="0" fontId="0" fillId="21" borderId="15" xfId="0" applyFill="1" applyBorder="1" applyAlignment="1" applyProtection="1">
      <alignment vertical="center"/>
      <protection/>
    </xf>
    <xf numFmtId="0" fontId="0" fillId="8" borderId="15" xfId="0" applyFill="1" applyBorder="1" applyAlignment="1" applyProtection="1">
      <alignment vertical="center"/>
      <protection/>
    </xf>
    <xf numFmtId="0" fontId="0" fillId="4" borderId="15" xfId="0" applyFill="1" applyBorder="1" applyAlignment="1" applyProtection="1">
      <alignment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22" borderId="32" xfId="0" applyFill="1" applyBorder="1" applyAlignment="1">
      <alignment vertical="center"/>
    </xf>
    <xf numFmtId="0" fontId="21" fillId="0" borderId="45" xfId="0" applyNumberFormat="1" applyFont="1" applyBorder="1" applyAlignment="1">
      <alignment vertical="center"/>
    </xf>
    <xf numFmtId="0" fontId="21" fillId="0" borderId="46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21" borderId="16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22" borderId="21" xfId="0" applyFill="1" applyBorder="1" applyAlignment="1">
      <alignment vertical="center"/>
    </xf>
    <xf numFmtId="0" fontId="0" fillId="21" borderId="49" xfId="0" applyFill="1" applyBorder="1" applyAlignment="1">
      <alignment vertical="center"/>
    </xf>
    <xf numFmtId="0" fontId="0" fillId="22" borderId="49" xfId="0" applyFill="1" applyBorder="1" applyAlignment="1">
      <alignment vertical="center"/>
    </xf>
    <xf numFmtId="0" fontId="0" fillId="4" borderId="49" xfId="0" applyNumberFormat="1" applyFill="1" applyBorder="1" applyAlignment="1">
      <alignment vertical="center"/>
    </xf>
    <xf numFmtId="0" fontId="0" fillId="7" borderId="49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22" borderId="50" xfId="0" applyFill="1" applyBorder="1" applyAlignment="1">
      <alignment vertical="center"/>
    </xf>
    <xf numFmtId="0" fontId="0" fillId="6" borderId="51" xfId="0" applyFill="1" applyBorder="1" applyAlignment="1">
      <alignment vertical="center"/>
    </xf>
    <xf numFmtId="0" fontId="0" fillId="6" borderId="44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0" fillId="7" borderId="52" xfId="0" applyFill="1" applyBorder="1" applyAlignment="1">
      <alignment horizontal="left" vertical="center"/>
    </xf>
    <xf numFmtId="0" fontId="0" fillId="7" borderId="52" xfId="0" applyFill="1" applyBorder="1" applyAlignment="1">
      <alignment vertical="center"/>
    </xf>
    <xf numFmtId="0" fontId="0" fillId="7" borderId="53" xfId="0" applyFill="1" applyBorder="1" applyAlignment="1">
      <alignment vertical="center"/>
    </xf>
    <xf numFmtId="0" fontId="0" fillId="7" borderId="33" xfId="0" applyFill="1" applyBorder="1" applyAlignment="1">
      <alignment vertical="center"/>
    </xf>
    <xf numFmtId="0" fontId="0" fillId="22" borderId="54" xfId="0" applyFill="1" applyBorder="1" applyAlignment="1">
      <alignment vertical="center"/>
    </xf>
    <xf numFmtId="0" fontId="0" fillId="7" borderId="54" xfId="0" applyFill="1" applyBorder="1" applyAlignment="1">
      <alignment vertical="center"/>
    </xf>
    <xf numFmtId="0" fontId="0" fillId="3" borderId="54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5" xfId="0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7" xfId="0" applyBorder="1" applyAlignment="1">
      <alignment horizontal="right" vertical="center"/>
    </xf>
    <xf numFmtId="0" fontId="0" fillId="4" borderId="49" xfId="0" applyFill="1" applyBorder="1" applyAlignment="1">
      <alignment vertical="center"/>
    </xf>
    <xf numFmtId="5" fontId="0" fillId="22" borderId="51" xfId="0" applyNumberFormat="1" applyFill="1" applyBorder="1" applyAlignment="1">
      <alignment vertical="center"/>
    </xf>
    <xf numFmtId="5" fontId="0" fillId="22" borderId="58" xfId="0" applyNumberFormat="1" applyFill="1" applyBorder="1" applyAlignment="1">
      <alignment vertical="center"/>
    </xf>
    <xf numFmtId="5" fontId="0" fillId="21" borderId="58" xfId="0" applyNumberFormat="1" applyFill="1" applyBorder="1" applyAlignment="1">
      <alignment vertical="center"/>
    </xf>
    <xf numFmtId="5" fontId="0" fillId="6" borderId="58" xfId="0" applyNumberFormat="1" applyFill="1" applyBorder="1" applyAlignment="1">
      <alignment vertical="center"/>
    </xf>
    <xf numFmtId="5" fontId="0" fillId="8" borderId="58" xfId="0" applyNumberFormat="1" applyFill="1" applyBorder="1" applyAlignment="1">
      <alignment vertical="center"/>
    </xf>
    <xf numFmtId="5" fontId="0" fillId="4" borderId="58" xfId="0" applyNumberFormat="1" applyFill="1" applyBorder="1" applyAlignment="1">
      <alignment vertical="center"/>
    </xf>
    <xf numFmtId="5" fontId="0" fillId="7" borderId="58" xfId="0" applyNumberForma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5" fontId="0" fillId="4" borderId="59" xfId="0" applyNumberFormat="1" applyFill="1" applyBorder="1" applyAlignment="1">
      <alignment vertical="center"/>
    </xf>
    <xf numFmtId="0" fontId="0" fillId="0" borderId="40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4" borderId="16" xfId="0" applyFill="1" applyBorder="1" applyAlignment="1">
      <alignment vertical="center"/>
    </xf>
    <xf numFmtId="0" fontId="0" fillId="4" borderId="54" xfId="0" applyFill="1" applyBorder="1" applyAlignment="1">
      <alignment vertical="center"/>
    </xf>
    <xf numFmtId="0" fontId="23" fillId="0" borderId="12" xfId="0" applyFont="1" applyBorder="1" applyAlignment="1" applyProtection="1">
      <alignment horizontal="center" vertical="center"/>
      <protection/>
    </xf>
    <xf numFmtId="0" fontId="0" fillId="23" borderId="60" xfId="0" applyFill="1" applyBorder="1" applyAlignment="1" applyProtection="1">
      <alignment vertical="center"/>
      <protection locked="0"/>
    </xf>
    <xf numFmtId="0" fontId="0" fillId="23" borderId="61" xfId="0" applyFill="1" applyBorder="1" applyAlignment="1" applyProtection="1">
      <alignment vertical="center"/>
      <protection locked="0"/>
    </xf>
    <xf numFmtId="0" fontId="0" fillId="23" borderId="36" xfId="0" applyFill="1" applyBorder="1" applyAlignment="1" applyProtection="1">
      <alignment vertical="center"/>
      <protection locked="0"/>
    </xf>
    <xf numFmtId="0" fontId="0" fillId="4" borderId="59" xfId="0" applyFill="1" applyBorder="1" applyAlignment="1" applyProtection="1">
      <alignment vertical="center"/>
      <protection/>
    </xf>
    <xf numFmtId="0" fontId="0" fillId="22" borderId="32" xfId="0" applyFill="1" applyBorder="1" applyAlignment="1" applyProtection="1">
      <alignment vertical="center"/>
      <protection locked="0"/>
    </xf>
    <xf numFmtId="0" fontId="0" fillId="22" borderId="62" xfId="0" applyFill="1" applyBorder="1" applyAlignment="1" applyProtection="1">
      <alignment vertical="center"/>
      <protection locked="0"/>
    </xf>
    <xf numFmtId="0" fontId="0" fillId="22" borderId="35" xfId="0" applyFill="1" applyBorder="1" applyAlignment="1" applyProtection="1">
      <alignment vertical="center"/>
      <protection locked="0"/>
    </xf>
    <xf numFmtId="0" fontId="0" fillId="22" borderId="37" xfId="0" applyFill="1" applyBorder="1" applyAlignment="1" applyProtection="1">
      <alignment vertical="center"/>
      <protection locked="0"/>
    </xf>
    <xf numFmtId="0" fontId="0" fillId="22" borderId="34" xfId="0" applyFill="1" applyBorder="1" applyAlignment="1" applyProtection="1">
      <alignment vertical="center"/>
      <protection locked="0"/>
    </xf>
    <xf numFmtId="0" fontId="0" fillId="21" borderId="35" xfId="0" applyFill="1" applyBorder="1" applyAlignment="1" applyProtection="1">
      <alignment vertical="center"/>
      <protection locked="0"/>
    </xf>
    <xf numFmtId="0" fontId="0" fillId="21" borderId="37" xfId="0" applyFill="1" applyBorder="1" applyAlignment="1" applyProtection="1">
      <alignment vertical="center"/>
      <protection locked="0"/>
    </xf>
    <xf numFmtId="0" fontId="0" fillId="6" borderId="35" xfId="0" applyFill="1" applyBorder="1" applyAlignment="1" applyProtection="1">
      <alignment vertical="center"/>
      <protection locked="0"/>
    </xf>
    <xf numFmtId="0" fontId="0" fillId="6" borderId="34" xfId="0" applyFill="1" applyBorder="1" applyAlignment="1" applyProtection="1">
      <alignment vertical="center"/>
      <protection locked="0"/>
    </xf>
    <xf numFmtId="0" fontId="0" fillId="6" borderId="37" xfId="0" applyFill="1" applyBorder="1" applyAlignment="1" applyProtection="1">
      <alignment vertical="center"/>
      <protection locked="0"/>
    </xf>
    <xf numFmtId="0" fontId="0" fillId="8" borderId="35" xfId="0" applyFill="1" applyBorder="1" applyAlignment="1" applyProtection="1">
      <alignment vertical="center"/>
      <protection locked="0"/>
    </xf>
    <xf numFmtId="0" fontId="0" fillId="8" borderId="60" xfId="0" applyFill="1" applyBorder="1" applyAlignment="1" applyProtection="1">
      <alignment vertical="center"/>
      <protection locked="0"/>
    </xf>
    <xf numFmtId="0" fontId="0" fillId="8" borderId="37" xfId="0" applyFill="1" applyBorder="1" applyAlignment="1" applyProtection="1">
      <alignment vertical="center"/>
      <protection locked="0"/>
    </xf>
    <xf numFmtId="0" fontId="0" fillId="7" borderId="35" xfId="0" applyFill="1" applyBorder="1" applyAlignment="1" applyProtection="1">
      <alignment vertical="center"/>
      <protection locked="0"/>
    </xf>
    <xf numFmtId="0" fontId="0" fillId="7" borderId="34" xfId="0" applyFill="1" applyBorder="1" applyAlignment="1" applyProtection="1">
      <alignment vertical="center"/>
      <protection locked="0"/>
    </xf>
    <xf numFmtId="0" fontId="0" fillId="4" borderId="63" xfId="0" applyFill="1" applyBorder="1" applyAlignment="1" applyProtection="1">
      <alignment vertical="center"/>
      <protection locked="0"/>
    </xf>
    <xf numFmtId="0" fontId="0" fillId="4" borderId="58" xfId="0" applyFill="1" applyBorder="1" applyAlignment="1" applyProtection="1">
      <alignment vertical="center"/>
      <protection locked="0"/>
    </xf>
    <xf numFmtId="0" fontId="0" fillId="4" borderId="59" xfId="0" applyFill="1" applyBorder="1" applyAlignment="1" applyProtection="1">
      <alignment vertical="center"/>
      <protection locked="0"/>
    </xf>
    <xf numFmtId="0" fontId="0" fillId="3" borderId="57" xfId="0" applyFill="1" applyBorder="1" applyAlignment="1" applyProtection="1">
      <alignment vertical="center"/>
      <protection locked="0"/>
    </xf>
    <xf numFmtId="0" fontId="0" fillId="3" borderId="32" xfId="0" applyFill="1" applyBorder="1" applyAlignment="1" applyProtection="1">
      <alignment vertical="center"/>
      <protection locked="0"/>
    </xf>
    <xf numFmtId="0" fontId="0" fillId="22" borderId="31" xfId="0" applyFill="1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21" borderId="65" xfId="0" applyFill="1" applyBorder="1" applyAlignment="1">
      <alignment vertical="center"/>
    </xf>
    <xf numFmtId="0" fontId="0" fillId="22" borderId="65" xfId="0" applyFill="1" applyBorder="1" applyAlignment="1">
      <alignment vertical="center"/>
    </xf>
    <xf numFmtId="0" fontId="0" fillId="4" borderId="65" xfId="0" applyFill="1" applyBorder="1" applyAlignment="1">
      <alignment vertical="center"/>
    </xf>
    <xf numFmtId="0" fontId="0" fillId="4" borderId="65" xfId="0" applyNumberFormat="1" applyFill="1" applyBorder="1" applyAlignment="1">
      <alignment vertical="center"/>
    </xf>
    <xf numFmtId="0" fontId="0" fillId="7" borderId="65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3" borderId="66" xfId="0" applyFill="1" applyBorder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22" borderId="70" xfId="0" applyFill="1" applyBorder="1" applyAlignment="1">
      <alignment vertical="center"/>
    </xf>
    <xf numFmtId="0" fontId="0" fillId="22" borderId="71" xfId="0" applyFill="1" applyBorder="1" applyAlignment="1">
      <alignment vertical="center"/>
    </xf>
    <xf numFmtId="0" fontId="0" fillId="22" borderId="72" xfId="0" applyFill="1" applyBorder="1" applyAlignment="1">
      <alignment vertical="center"/>
    </xf>
    <xf numFmtId="0" fontId="0" fillId="22" borderId="73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5" borderId="74" xfId="0" applyFill="1" applyBorder="1" applyAlignment="1" applyProtection="1">
      <alignment vertical="center"/>
      <protection/>
    </xf>
    <xf numFmtId="0" fontId="0" fillId="5" borderId="75" xfId="0" applyFill="1" applyBorder="1" applyAlignment="1" applyProtection="1">
      <alignment vertical="center"/>
      <protection locked="0"/>
    </xf>
    <xf numFmtId="0" fontId="0" fillId="23" borderId="19" xfId="0" applyFill="1" applyBorder="1" applyAlignment="1" applyProtection="1">
      <alignment vertical="center"/>
      <protection locked="0"/>
    </xf>
    <xf numFmtId="0" fontId="0" fillId="23" borderId="76" xfId="0" applyFill="1" applyBorder="1" applyAlignment="1" applyProtection="1">
      <alignment vertical="center"/>
      <protection locked="0"/>
    </xf>
    <xf numFmtId="5" fontId="0" fillId="5" borderId="46" xfId="0" applyNumberFormat="1" applyFill="1" applyBorder="1" applyAlignment="1">
      <alignment vertical="center"/>
    </xf>
    <xf numFmtId="0" fontId="0" fillId="5" borderId="74" xfId="0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5" fontId="0" fillId="0" borderId="55" xfId="0" applyNumberFormat="1" applyBorder="1" applyAlignment="1">
      <alignment vertical="center"/>
    </xf>
    <xf numFmtId="5" fontId="0" fillId="3" borderId="40" xfId="0" applyNumberFormat="1" applyFill="1" applyBorder="1" applyAlignment="1">
      <alignment vertical="center"/>
    </xf>
    <xf numFmtId="0" fontId="0" fillId="3" borderId="40" xfId="0" applyFill="1" applyBorder="1" applyAlignment="1" applyProtection="1">
      <alignment vertical="center"/>
      <protection/>
    </xf>
    <xf numFmtId="0" fontId="0" fillId="3" borderId="77" xfId="0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40" xfId="0" applyBorder="1" applyAlignment="1">
      <alignment horizontal="right" vertical="center"/>
    </xf>
    <xf numFmtId="5" fontId="0" fillId="0" borderId="12" xfId="0" applyNumberFormat="1" applyBorder="1" applyAlignment="1">
      <alignment horizontal="left" vertical="center"/>
    </xf>
    <xf numFmtId="0" fontId="0" fillId="3" borderId="78" xfId="0" applyFill="1" applyBorder="1" applyAlignment="1" applyProtection="1">
      <alignment horizontal="left" vertical="center"/>
      <protection/>
    </xf>
    <xf numFmtId="0" fontId="0" fillId="0" borderId="78" xfId="0" applyBorder="1" applyAlignment="1">
      <alignment horizontal="left" vertical="center"/>
    </xf>
    <xf numFmtId="5" fontId="0" fillId="3" borderId="12" xfId="0" applyNumberFormat="1" applyFill="1" applyBorder="1" applyAlignment="1">
      <alignment vertical="center"/>
    </xf>
    <xf numFmtId="0" fontId="0" fillId="0" borderId="79" xfId="0" applyBorder="1" applyAlignment="1">
      <alignment vertical="center"/>
    </xf>
    <xf numFmtId="0" fontId="0" fillId="22" borderId="56" xfId="0" applyFill="1" applyBorder="1" applyAlignment="1">
      <alignment vertical="center"/>
    </xf>
    <xf numFmtId="0" fontId="0" fillId="21" borderId="21" xfId="0" applyFill="1" applyBorder="1" applyAlignment="1">
      <alignment vertical="center"/>
    </xf>
    <xf numFmtId="0" fontId="0" fillId="22" borderId="29" xfId="0" applyFill="1" applyBorder="1" applyAlignment="1">
      <alignment vertical="center"/>
    </xf>
    <xf numFmtId="5" fontId="0" fillId="4" borderId="21" xfId="0" applyNumberFormat="1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22" borderId="19" xfId="0" applyFill="1" applyBorder="1" applyAlignment="1">
      <alignment vertical="center"/>
    </xf>
    <xf numFmtId="0" fontId="0" fillId="7" borderId="15" xfId="0" applyFill="1" applyBorder="1" applyAlignment="1">
      <alignment horizontal="left" vertical="center"/>
    </xf>
    <xf numFmtId="0" fontId="0" fillId="7" borderId="17" xfId="0" applyFill="1" applyBorder="1" applyAlignment="1">
      <alignment vertical="center"/>
    </xf>
    <xf numFmtId="0" fontId="0" fillId="6" borderId="46" xfId="0" applyFill="1" applyBorder="1" applyAlignment="1">
      <alignment vertical="center"/>
    </xf>
    <xf numFmtId="0" fontId="0" fillId="6" borderId="80" xfId="0" applyFill="1" applyBorder="1" applyAlignment="1">
      <alignment vertical="center"/>
    </xf>
    <xf numFmtId="0" fontId="0" fillId="6" borderId="54" xfId="0" applyFill="1" applyBorder="1" applyAlignment="1">
      <alignment vertical="center"/>
    </xf>
    <xf numFmtId="0" fontId="0" fillId="6" borderId="58" xfId="0" applyFill="1" applyBorder="1" applyAlignment="1">
      <alignment vertical="center"/>
    </xf>
    <xf numFmtId="0" fontId="0" fillId="6" borderId="81" xfId="0" applyFill="1" applyBorder="1" applyAlignment="1">
      <alignment vertical="center"/>
    </xf>
    <xf numFmtId="0" fontId="0" fillId="7" borderId="51" xfId="0" applyFill="1" applyBorder="1" applyAlignment="1">
      <alignment horizontal="left" vertical="center"/>
    </xf>
    <xf numFmtId="0" fontId="0" fillId="23" borderId="40" xfId="0" applyFill="1" applyBorder="1" applyAlignment="1" applyProtection="1">
      <alignment vertical="center"/>
      <protection locked="0"/>
    </xf>
    <xf numFmtId="0" fontId="0" fillId="23" borderId="44" xfId="0" applyFill="1" applyBorder="1" applyAlignment="1" applyProtection="1">
      <alignment vertical="center"/>
      <protection locked="0"/>
    </xf>
    <xf numFmtId="0" fontId="0" fillId="23" borderId="12" xfId="0" applyFill="1" applyBorder="1" applyAlignment="1" applyProtection="1">
      <alignment vertical="center"/>
      <protection locked="0"/>
    </xf>
    <xf numFmtId="0" fontId="0" fillId="3" borderId="40" xfId="0" applyFill="1" applyBorder="1" applyAlignment="1" applyProtection="1">
      <alignment horizontal="right" vertical="center"/>
      <protection locked="0"/>
    </xf>
    <xf numFmtId="0" fontId="0" fillId="3" borderId="82" xfId="0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45" xfId="0" applyFill="1" applyBorder="1" applyAlignment="1" applyProtection="1">
      <alignment vertical="center"/>
      <protection locked="0"/>
    </xf>
    <xf numFmtId="0" fontId="0" fillId="3" borderId="56" xfId="0" applyFill="1" applyBorder="1" applyAlignment="1" applyProtection="1">
      <alignment vertical="center"/>
      <protection locked="0"/>
    </xf>
    <xf numFmtId="0" fontId="0" fillId="3" borderId="83" xfId="0" applyFill="1" applyBorder="1" applyAlignment="1" applyProtection="1">
      <alignment vertical="center"/>
      <protection locked="0"/>
    </xf>
    <xf numFmtId="0" fontId="0" fillId="23" borderId="46" xfId="0" applyFill="1" applyBorder="1" applyAlignment="1" applyProtection="1">
      <alignment vertical="center"/>
      <protection locked="0"/>
    </xf>
    <xf numFmtId="0" fontId="0" fillId="23" borderId="28" xfId="0" applyFill="1" applyBorder="1" applyAlignment="1" applyProtection="1">
      <alignment vertical="center"/>
      <protection locked="0"/>
    </xf>
    <xf numFmtId="0" fontId="0" fillId="22" borderId="0" xfId="0" applyFill="1" applyBorder="1" applyAlignment="1" applyProtection="1">
      <alignment vertical="center"/>
      <protection locked="0"/>
    </xf>
    <xf numFmtId="0" fontId="0" fillId="23" borderId="34" xfId="0" applyFill="1" applyBorder="1" applyAlignment="1" applyProtection="1">
      <alignment vertical="center"/>
      <protection locked="0"/>
    </xf>
    <xf numFmtId="0" fontId="0" fillId="22" borderId="21" xfId="0" applyFill="1" applyBorder="1" applyAlignment="1" applyProtection="1">
      <alignment vertical="center"/>
      <protection locked="0"/>
    </xf>
    <xf numFmtId="0" fontId="0" fillId="23" borderId="54" xfId="0" applyFill="1" applyBorder="1" applyAlignment="1" applyProtection="1">
      <alignment vertical="center"/>
      <protection locked="0"/>
    </xf>
    <xf numFmtId="0" fontId="0" fillId="23" borderId="22" xfId="0" applyFill="1" applyBorder="1" applyAlignment="1" applyProtection="1">
      <alignment vertical="center"/>
      <protection locked="0"/>
    </xf>
    <xf numFmtId="0" fontId="0" fillId="23" borderId="23" xfId="0" applyFill="1" applyBorder="1" applyAlignment="1" applyProtection="1">
      <alignment vertical="center"/>
      <protection locked="0"/>
    </xf>
    <xf numFmtId="0" fontId="0" fillId="23" borderId="47" xfId="0" applyFill="1" applyBorder="1" applyAlignment="1" applyProtection="1">
      <alignment vertical="center"/>
      <protection locked="0"/>
    </xf>
    <xf numFmtId="0" fontId="0" fillId="23" borderId="84" xfId="0" applyFill="1" applyBorder="1" applyAlignment="1" applyProtection="1">
      <alignment vertical="center"/>
      <protection locked="0"/>
    </xf>
    <xf numFmtId="0" fontId="0" fillId="23" borderId="48" xfId="0" applyFill="1" applyBorder="1" applyAlignment="1" applyProtection="1">
      <alignment vertical="center"/>
      <protection locked="0"/>
    </xf>
    <xf numFmtId="0" fontId="0" fillId="23" borderId="55" xfId="0" applyFill="1" applyBorder="1" applyAlignment="1" applyProtection="1">
      <alignment vertical="center"/>
      <protection locked="0"/>
    </xf>
    <xf numFmtId="0" fontId="0" fillId="22" borderId="85" xfId="0" applyFill="1" applyBorder="1" applyAlignment="1" applyProtection="1">
      <alignment vertical="center"/>
      <protection locked="0"/>
    </xf>
    <xf numFmtId="0" fontId="0" fillId="21" borderId="86" xfId="0" applyFill="1" applyBorder="1" applyAlignment="1" applyProtection="1">
      <alignment vertical="center"/>
      <protection locked="0"/>
    </xf>
    <xf numFmtId="0" fontId="0" fillId="22" borderId="86" xfId="0" applyFill="1" applyBorder="1" applyAlignment="1" applyProtection="1">
      <alignment vertical="center"/>
      <protection locked="0"/>
    </xf>
    <xf numFmtId="0" fontId="0" fillId="4" borderId="86" xfId="0" applyFill="1" applyBorder="1" applyAlignment="1" applyProtection="1">
      <alignment vertical="center"/>
      <protection locked="0"/>
    </xf>
    <xf numFmtId="0" fontId="0" fillId="4" borderId="86" xfId="0" applyNumberFormat="1" applyFill="1" applyBorder="1" applyAlignment="1" applyProtection="1">
      <alignment vertical="center"/>
      <protection locked="0"/>
    </xf>
    <xf numFmtId="0" fontId="0" fillId="7" borderId="86" xfId="0" applyFill="1" applyBorder="1" applyAlignment="1" applyProtection="1">
      <alignment vertical="center"/>
      <protection locked="0"/>
    </xf>
    <xf numFmtId="0" fontId="0" fillId="22" borderId="87" xfId="0" applyFill="1" applyBorder="1" applyAlignment="1" applyProtection="1">
      <alignment vertical="center"/>
      <protection locked="0"/>
    </xf>
    <xf numFmtId="0" fontId="0" fillId="22" borderId="88" xfId="0" applyFill="1" applyBorder="1" applyAlignment="1" applyProtection="1">
      <alignment vertical="center"/>
      <protection locked="0"/>
    </xf>
    <xf numFmtId="0" fontId="0" fillId="22" borderId="89" xfId="0" applyFill="1" applyBorder="1" applyAlignment="1" applyProtection="1">
      <alignment vertical="center"/>
      <protection locked="0"/>
    </xf>
    <xf numFmtId="0" fontId="0" fillId="0" borderId="4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84" xfId="0" applyBorder="1" applyAlignment="1">
      <alignment horizontal="right" vertical="center"/>
    </xf>
    <xf numFmtId="0" fontId="0" fillId="0" borderId="90" xfId="0" applyBorder="1" applyAlignment="1">
      <alignment horizontal="right" vertical="center"/>
    </xf>
    <xf numFmtId="0" fontId="0" fillId="0" borderId="40" xfId="0" applyFill="1" applyBorder="1" applyAlignment="1">
      <alignment horizontal="right" vertical="center"/>
    </xf>
    <xf numFmtId="0" fontId="0" fillId="0" borderId="4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8</xdr:row>
      <xdr:rowOff>0</xdr:rowOff>
    </xdr:from>
    <xdr:to>
      <xdr:col>16</xdr:col>
      <xdr:colOff>771525</xdr:colOff>
      <xdr:row>9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563350" y="1504950"/>
          <a:ext cx="771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セット数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752475</xdr:colOff>
      <xdr:row>9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2715875" y="1504950"/>
          <a:ext cx="752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セット数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</a:p>
      </xdr:txBody>
    </xdr:sp>
    <xdr:clientData/>
  </xdr:twoCellAnchor>
  <xdr:twoCellAnchor>
    <xdr:from>
      <xdr:col>16</xdr:col>
      <xdr:colOff>0</xdr:colOff>
      <xdr:row>29</xdr:row>
      <xdr:rowOff>0</xdr:rowOff>
    </xdr:from>
    <xdr:to>
      <xdr:col>16</xdr:col>
      <xdr:colOff>742950</xdr:colOff>
      <xdr:row>30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1563350" y="5248275"/>
          <a:ext cx="742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セット数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</a:p>
      </xdr:txBody>
    </xdr:sp>
    <xdr:clientData/>
  </xdr:twoCellAnchor>
  <xdr:twoCellAnchor>
    <xdr:from>
      <xdr:col>17</xdr:col>
      <xdr:colOff>0</xdr:colOff>
      <xdr:row>29</xdr:row>
      <xdr:rowOff>9525</xdr:rowOff>
    </xdr:from>
    <xdr:to>
      <xdr:col>17</xdr:col>
      <xdr:colOff>771525</xdr:colOff>
      <xdr:row>30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2715875" y="5257800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セット数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</a:p>
      </xdr:txBody>
    </xdr:sp>
    <xdr:clientData/>
  </xdr:twoCellAnchor>
  <xdr:twoCellAnchor>
    <xdr:from>
      <xdr:col>16</xdr:col>
      <xdr:colOff>0</xdr:colOff>
      <xdr:row>39</xdr:row>
      <xdr:rowOff>0</xdr:rowOff>
    </xdr:from>
    <xdr:to>
      <xdr:col>16</xdr:col>
      <xdr:colOff>723900</xdr:colOff>
      <xdr:row>40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11563350" y="7029450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セット数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</a:p>
      </xdr:txBody>
    </xdr:sp>
    <xdr:clientData/>
  </xdr:twoCellAnchor>
  <xdr:twoCellAnchor>
    <xdr:from>
      <xdr:col>17</xdr:col>
      <xdr:colOff>0</xdr:colOff>
      <xdr:row>39</xdr:row>
      <xdr:rowOff>0</xdr:rowOff>
    </xdr:from>
    <xdr:to>
      <xdr:col>17</xdr:col>
      <xdr:colOff>723900</xdr:colOff>
      <xdr:row>40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2715875" y="7029450"/>
          <a:ext cx="723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セット数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</a:p>
      </xdr:txBody>
    </xdr:sp>
    <xdr:clientData/>
  </xdr:twoCellAnchor>
  <xdr:twoCellAnchor>
    <xdr:from>
      <xdr:col>1</xdr:col>
      <xdr:colOff>1085850</xdr:colOff>
      <xdr:row>37</xdr:row>
      <xdr:rowOff>9525</xdr:rowOff>
    </xdr:from>
    <xdr:to>
      <xdr:col>2</xdr:col>
      <xdr:colOff>0</xdr:colOff>
      <xdr:row>38</xdr:row>
      <xdr:rowOff>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1771650" y="6677025"/>
          <a:ext cx="933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配達地域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</a:p>
      </xdr:txBody>
    </xdr:sp>
    <xdr:clientData/>
  </xdr:twoCellAnchor>
  <xdr:twoCellAnchor>
    <xdr:from>
      <xdr:col>1</xdr:col>
      <xdr:colOff>1685925</xdr:colOff>
      <xdr:row>37</xdr:row>
      <xdr:rowOff>95250</xdr:rowOff>
    </xdr:from>
    <xdr:to>
      <xdr:col>2</xdr:col>
      <xdr:colOff>428625</xdr:colOff>
      <xdr:row>48</xdr:row>
      <xdr:rowOff>95250</xdr:rowOff>
    </xdr:to>
    <xdr:sp>
      <xdr:nvSpPr>
        <xdr:cNvPr id="8" name="フリーフォーム 8"/>
        <xdr:cNvSpPr>
          <a:spLocks/>
        </xdr:cNvSpPr>
      </xdr:nvSpPr>
      <xdr:spPr>
        <a:xfrm>
          <a:off x="2371725" y="6762750"/>
          <a:ext cx="762000" cy="1943100"/>
        </a:xfrm>
        <a:custGeom>
          <a:pathLst>
            <a:path h="1912620" w="533550">
              <a:moveTo>
                <a:pt x="533550" y="0"/>
              </a:moveTo>
              <a:cubicBezTo>
                <a:pt x="271295" y="267335"/>
                <a:pt x="9040" y="534670"/>
                <a:pt x="150" y="853440"/>
              </a:cubicBezTo>
              <a:cubicBezTo>
                <a:pt x="-8740" y="1172210"/>
                <a:pt x="378610" y="1696720"/>
                <a:pt x="480210" y="1912620"/>
              </a:cubicBezTo>
            </a:path>
          </a:pathLst>
        </a:custGeom>
        <a:noFill/>
        <a:ln w="9525" cmpd="sng">
          <a:solidFill>
            <a:srgbClr val="00B05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247650</xdr:colOff>
      <xdr:row>39</xdr:row>
      <xdr:rowOff>0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2705100" y="68484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</a:t>
          </a:r>
        </a:p>
      </xdr:txBody>
    </xdr:sp>
    <xdr:clientData/>
  </xdr:twoCellAnchor>
  <xdr:twoCellAnchor>
    <xdr:from>
      <xdr:col>2</xdr:col>
      <xdr:colOff>9525</xdr:colOff>
      <xdr:row>39</xdr:row>
      <xdr:rowOff>9525</xdr:rowOff>
    </xdr:from>
    <xdr:to>
      <xdr:col>2</xdr:col>
      <xdr:colOff>285750</xdr:colOff>
      <xdr:row>40</xdr:row>
      <xdr:rowOff>0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2714625" y="7038975"/>
          <a:ext cx="2762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</a:t>
          </a:r>
        </a:p>
      </xdr:txBody>
    </xdr:sp>
    <xdr:clientData/>
  </xdr:twoCellAnchor>
  <xdr:twoCellAnchor>
    <xdr:from>
      <xdr:col>2</xdr:col>
      <xdr:colOff>9525</xdr:colOff>
      <xdr:row>40</xdr:row>
      <xdr:rowOff>0</xdr:rowOff>
    </xdr:from>
    <xdr:to>
      <xdr:col>2</xdr:col>
      <xdr:colOff>266700</xdr:colOff>
      <xdr:row>41</xdr:row>
      <xdr:rowOff>0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2714625" y="7210425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</a:t>
          </a:r>
        </a:p>
      </xdr:txBody>
    </xdr:sp>
    <xdr:clientData/>
  </xdr:twoCellAnchor>
  <xdr:twoCellAnchor>
    <xdr:from>
      <xdr:col>2</xdr:col>
      <xdr:colOff>9525</xdr:colOff>
      <xdr:row>41</xdr:row>
      <xdr:rowOff>9525</xdr:rowOff>
    </xdr:from>
    <xdr:to>
      <xdr:col>2</xdr:col>
      <xdr:colOff>266700</xdr:colOff>
      <xdr:row>42</xdr:row>
      <xdr:rowOff>9525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2714625" y="7400925"/>
          <a:ext cx="257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</a:t>
          </a:r>
        </a:p>
      </xdr:txBody>
    </xdr:sp>
    <xdr:clientData/>
  </xdr:twoCellAnchor>
  <xdr:twoCellAnchor>
    <xdr:from>
      <xdr:col>2</xdr:col>
      <xdr:colOff>9525</xdr:colOff>
      <xdr:row>42</xdr:row>
      <xdr:rowOff>9525</xdr:rowOff>
    </xdr:from>
    <xdr:to>
      <xdr:col>2</xdr:col>
      <xdr:colOff>257175</xdr:colOff>
      <xdr:row>43</xdr:row>
      <xdr:rowOff>0</xdr:rowOff>
    </xdr:to>
    <xdr:sp>
      <xdr:nvSpPr>
        <xdr:cNvPr id="13" name="テキスト ボックス 14"/>
        <xdr:cNvSpPr txBox="1">
          <a:spLocks noChangeArrowheads="1"/>
        </xdr:cNvSpPr>
      </xdr:nvSpPr>
      <xdr:spPr>
        <a:xfrm>
          <a:off x="2714625" y="7572375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</a:t>
          </a:r>
        </a:p>
      </xdr:txBody>
    </xdr:sp>
    <xdr:clientData/>
  </xdr:twoCellAnchor>
  <xdr:twoCellAnchor>
    <xdr:from>
      <xdr:col>2</xdr:col>
      <xdr:colOff>9525</xdr:colOff>
      <xdr:row>43</xdr:row>
      <xdr:rowOff>0</xdr:rowOff>
    </xdr:from>
    <xdr:to>
      <xdr:col>2</xdr:col>
      <xdr:colOff>276225</xdr:colOff>
      <xdr:row>44</xdr:row>
      <xdr:rowOff>9525</xdr:rowOff>
    </xdr:to>
    <xdr:sp>
      <xdr:nvSpPr>
        <xdr:cNvPr id="14" name="テキスト ボックス 15"/>
        <xdr:cNvSpPr txBox="1">
          <a:spLocks noChangeArrowheads="1"/>
        </xdr:cNvSpPr>
      </xdr:nvSpPr>
      <xdr:spPr>
        <a:xfrm>
          <a:off x="2714625" y="773430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</a:t>
          </a:r>
        </a:p>
      </xdr:txBody>
    </xdr:sp>
    <xdr:clientData/>
  </xdr:twoCellAnchor>
  <xdr:twoCellAnchor>
    <xdr:from>
      <xdr:col>2</xdr:col>
      <xdr:colOff>9525</xdr:colOff>
      <xdr:row>46</xdr:row>
      <xdr:rowOff>0</xdr:rowOff>
    </xdr:from>
    <xdr:to>
      <xdr:col>2</xdr:col>
      <xdr:colOff>276225</xdr:colOff>
      <xdr:row>47</xdr:row>
      <xdr:rowOff>9525</xdr:rowOff>
    </xdr:to>
    <xdr:sp>
      <xdr:nvSpPr>
        <xdr:cNvPr id="15" name="テキスト ボックス 16"/>
        <xdr:cNvSpPr txBox="1">
          <a:spLocks noChangeArrowheads="1"/>
        </xdr:cNvSpPr>
      </xdr:nvSpPr>
      <xdr:spPr>
        <a:xfrm>
          <a:off x="2714625" y="8248650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257175</xdr:colOff>
      <xdr:row>46</xdr:row>
      <xdr:rowOff>9525</xdr:rowOff>
    </xdr:to>
    <xdr:sp>
      <xdr:nvSpPr>
        <xdr:cNvPr id="16" name="テキスト ボックス 17"/>
        <xdr:cNvSpPr txBox="1">
          <a:spLocks noChangeArrowheads="1"/>
        </xdr:cNvSpPr>
      </xdr:nvSpPr>
      <xdr:spPr>
        <a:xfrm>
          <a:off x="2714625" y="80772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2</xdr:col>
      <xdr:colOff>266700</xdr:colOff>
      <xdr:row>45</xdr:row>
      <xdr:rowOff>28575</xdr:rowOff>
    </xdr:to>
    <xdr:sp>
      <xdr:nvSpPr>
        <xdr:cNvPr id="17" name="テキスト ボックス 18"/>
        <xdr:cNvSpPr txBox="1">
          <a:spLocks noChangeArrowheads="1"/>
        </xdr:cNvSpPr>
      </xdr:nvSpPr>
      <xdr:spPr>
        <a:xfrm>
          <a:off x="2714625" y="7905750"/>
          <a:ext cx="257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</a:t>
          </a:r>
        </a:p>
      </xdr:txBody>
    </xdr:sp>
    <xdr:clientData/>
  </xdr:twoCellAnchor>
  <xdr:twoCellAnchor>
    <xdr:from>
      <xdr:col>5</xdr:col>
      <xdr:colOff>19050</xdr:colOff>
      <xdr:row>37</xdr:row>
      <xdr:rowOff>0</xdr:rowOff>
    </xdr:from>
    <xdr:to>
      <xdr:col>5</xdr:col>
      <xdr:colOff>266700</xdr:colOff>
      <xdr:row>38</xdr:row>
      <xdr:rowOff>0</xdr:rowOff>
    </xdr:to>
    <xdr:sp>
      <xdr:nvSpPr>
        <xdr:cNvPr id="18" name="テキスト ボックス 19"/>
        <xdr:cNvSpPr txBox="1">
          <a:spLocks noChangeArrowheads="1"/>
        </xdr:cNvSpPr>
      </xdr:nvSpPr>
      <xdr:spPr>
        <a:xfrm>
          <a:off x="4714875" y="66675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</a:t>
          </a:r>
        </a:p>
      </xdr:txBody>
    </xdr:sp>
    <xdr:clientData/>
  </xdr:twoCellAnchor>
  <xdr:twoCellAnchor>
    <xdr:from>
      <xdr:col>5</xdr:col>
      <xdr:colOff>9525</xdr:colOff>
      <xdr:row>38</xdr:row>
      <xdr:rowOff>9525</xdr:rowOff>
    </xdr:from>
    <xdr:to>
      <xdr:col>5</xdr:col>
      <xdr:colOff>257175</xdr:colOff>
      <xdr:row>39</xdr:row>
      <xdr:rowOff>9525</xdr:rowOff>
    </xdr:to>
    <xdr:sp>
      <xdr:nvSpPr>
        <xdr:cNvPr id="19" name="テキスト ボックス 20"/>
        <xdr:cNvSpPr txBox="1">
          <a:spLocks noChangeArrowheads="1"/>
        </xdr:cNvSpPr>
      </xdr:nvSpPr>
      <xdr:spPr>
        <a:xfrm>
          <a:off x="4705350" y="68580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</a:t>
          </a:r>
        </a:p>
      </xdr:txBody>
    </xdr:sp>
    <xdr:clientData/>
  </xdr:twoCellAnchor>
  <xdr:twoCellAnchor>
    <xdr:from>
      <xdr:col>5</xdr:col>
      <xdr:colOff>9525</xdr:colOff>
      <xdr:row>39</xdr:row>
      <xdr:rowOff>9525</xdr:rowOff>
    </xdr:from>
    <xdr:to>
      <xdr:col>5</xdr:col>
      <xdr:colOff>257175</xdr:colOff>
      <xdr:row>40</xdr:row>
      <xdr:rowOff>9525</xdr:rowOff>
    </xdr:to>
    <xdr:sp>
      <xdr:nvSpPr>
        <xdr:cNvPr id="20" name="テキスト ボックス 21"/>
        <xdr:cNvSpPr txBox="1">
          <a:spLocks noChangeArrowheads="1"/>
        </xdr:cNvSpPr>
      </xdr:nvSpPr>
      <xdr:spPr>
        <a:xfrm>
          <a:off x="4705350" y="70389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</a:t>
          </a:r>
        </a:p>
      </xdr:txBody>
    </xdr:sp>
    <xdr:clientData/>
  </xdr:twoCellAnchor>
  <xdr:twoCellAnchor>
    <xdr:from>
      <xdr:col>5</xdr:col>
      <xdr:colOff>9525</xdr:colOff>
      <xdr:row>40</xdr:row>
      <xdr:rowOff>0</xdr:rowOff>
    </xdr:from>
    <xdr:to>
      <xdr:col>5</xdr:col>
      <xdr:colOff>257175</xdr:colOff>
      <xdr:row>41</xdr:row>
      <xdr:rowOff>0</xdr:rowOff>
    </xdr:to>
    <xdr:sp>
      <xdr:nvSpPr>
        <xdr:cNvPr id="21" name="テキスト ボックス 22"/>
        <xdr:cNvSpPr txBox="1">
          <a:spLocks noChangeArrowheads="1"/>
        </xdr:cNvSpPr>
      </xdr:nvSpPr>
      <xdr:spPr>
        <a:xfrm>
          <a:off x="4705350" y="72104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</a:t>
          </a:r>
        </a:p>
      </xdr:txBody>
    </xdr:sp>
    <xdr:clientData/>
  </xdr:twoCellAnchor>
  <xdr:twoCellAnchor>
    <xdr:from>
      <xdr:col>5</xdr:col>
      <xdr:colOff>9525</xdr:colOff>
      <xdr:row>41</xdr:row>
      <xdr:rowOff>0</xdr:rowOff>
    </xdr:from>
    <xdr:to>
      <xdr:col>5</xdr:col>
      <xdr:colOff>257175</xdr:colOff>
      <xdr:row>42</xdr:row>
      <xdr:rowOff>0</xdr:rowOff>
    </xdr:to>
    <xdr:sp>
      <xdr:nvSpPr>
        <xdr:cNvPr id="22" name="テキスト ボックス 23"/>
        <xdr:cNvSpPr txBox="1">
          <a:spLocks noChangeArrowheads="1"/>
        </xdr:cNvSpPr>
      </xdr:nvSpPr>
      <xdr:spPr>
        <a:xfrm>
          <a:off x="4705350" y="7391400"/>
          <a:ext cx="247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</a:t>
          </a:r>
        </a:p>
      </xdr:txBody>
    </xdr:sp>
    <xdr:clientData/>
  </xdr:twoCellAnchor>
  <xdr:twoCellAnchor>
    <xdr:from>
      <xdr:col>5</xdr:col>
      <xdr:colOff>19050</xdr:colOff>
      <xdr:row>42</xdr:row>
      <xdr:rowOff>9525</xdr:rowOff>
    </xdr:from>
    <xdr:to>
      <xdr:col>5</xdr:col>
      <xdr:colOff>266700</xdr:colOff>
      <xdr:row>43</xdr:row>
      <xdr:rowOff>9525</xdr:rowOff>
    </xdr:to>
    <xdr:sp>
      <xdr:nvSpPr>
        <xdr:cNvPr id="23" name="テキスト ボックス 24"/>
        <xdr:cNvSpPr txBox="1">
          <a:spLocks noChangeArrowheads="1"/>
        </xdr:cNvSpPr>
      </xdr:nvSpPr>
      <xdr:spPr>
        <a:xfrm>
          <a:off x="4714875" y="7572375"/>
          <a:ext cx="247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</a:t>
          </a:r>
        </a:p>
      </xdr:txBody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257175</xdr:colOff>
      <xdr:row>44</xdr:row>
      <xdr:rowOff>9525</xdr:rowOff>
    </xdr:to>
    <xdr:sp>
      <xdr:nvSpPr>
        <xdr:cNvPr id="24" name="テキスト ボックス 25"/>
        <xdr:cNvSpPr txBox="1">
          <a:spLocks noChangeArrowheads="1"/>
        </xdr:cNvSpPr>
      </xdr:nvSpPr>
      <xdr:spPr>
        <a:xfrm>
          <a:off x="4695825" y="7734300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</a:t>
          </a:r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257175</xdr:colOff>
      <xdr:row>38</xdr:row>
      <xdr:rowOff>0</xdr:rowOff>
    </xdr:to>
    <xdr:sp>
      <xdr:nvSpPr>
        <xdr:cNvPr id="25" name="テキスト ボックス 26"/>
        <xdr:cNvSpPr txBox="1">
          <a:spLocks noChangeArrowheads="1"/>
        </xdr:cNvSpPr>
      </xdr:nvSpPr>
      <xdr:spPr>
        <a:xfrm>
          <a:off x="5886450" y="66675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（１）</a:t>
          </a:r>
        </a:p>
      </xdr:txBody>
    </xdr:sp>
    <xdr:clientData/>
  </xdr:twoCellAnchor>
  <xdr:twoCellAnchor>
    <xdr:from>
      <xdr:col>3</xdr:col>
      <xdr:colOff>0</xdr:colOff>
      <xdr:row>37</xdr:row>
      <xdr:rowOff>9525</xdr:rowOff>
    </xdr:from>
    <xdr:to>
      <xdr:col>4</xdr:col>
      <xdr:colOff>485775</xdr:colOff>
      <xdr:row>37</xdr:row>
      <xdr:rowOff>171450</xdr:rowOff>
    </xdr:to>
    <xdr:sp>
      <xdr:nvSpPr>
        <xdr:cNvPr id="26" name="テキスト ボックス 27"/>
        <xdr:cNvSpPr txBox="1">
          <a:spLocks noChangeArrowheads="1"/>
        </xdr:cNvSpPr>
      </xdr:nvSpPr>
      <xdr:spPr>
        <a:xfrm>
          <a:off x="3514725" y="6677025"/>
          <a:ext cx="857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（６０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８０、１００）</a:t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752475</xdr:colOff>
      <xdr:row>18</xdr:row>
      <xdr:rowOff>171450</xdr:rowOff>
    </xdr:to>
    <xdr:sp>
      <xdr:nvSpPr>
        <xdr:cNvPr id="27" name="テキスト ボックス 28"/>
        <xdr:cNvSpPr txBox="1">
          <a:spLocks noChangeArrowheads="1"/>
        </xdr:cNvSpPr>
      </xdr:nvSpPr>
      <xdr:spPr>
        <a:xfrm>
          <a:off x="11563350" y="33051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セット数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762000</xdr:colOff>
      <xdr:row>19</xdr:row>
      <xdr:rowOff>0</xdr:rowOff>
    </xdr:to>
    <xdr:sp>
      <xdr:nvSpPr>
        <xdr:cNvPr id="28" name="テキスト ボックス 29"/>
        <xdr:cNvSpPr txBox="1">
          <a:spLocks noChangeArrowheads="1"/>
        </xdr:cNvSpPr>
      </xdr:nvSpPr>
      <xdr:spPr>
        <a:xfrm>
          <a:off x="12715875" y="3305175"/>
          <a:ext cx="762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セット数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752475</xdr:colOff>
      <xdr:row>19</xdr:row>
      <xdr:rowOff>0</xdr:rowOff>
    </xdr:to>
    <xdr:sp>
      <xdr:nvSpPr>
        <xdr:cNvPr id="29" name="テキスト ボックス 30"/>
        <xdr:cNvSpPr txBox="1">
          <a:spLocks noChangeArrowheads="1"/>
        </xdr:cNvSpPr>
      </xdr:nvSpPr>
      <xdr:spPr>
        <a:xfrm>
          <a:off x="12715875" y="3305175"/>
          <a:ext cx="752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セット数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</a:p>
      </xdr:txBody>
    </xdr:sp>
    <xdr:clientData/>
  </xdr:twoCellAnchor>
  <xdr:twoCellAnchor>
    <xdr:from>
      <xdr:col>4</xdr:col>
      <xdr:colOff>152400</xdr:colOff>
      <xdr:row>37</xdr:row>
      <xdr:rowOff>114300</xdr:rowOff>
    </xdr:from>
    <xdr:to>
      <xdr:col>4</xdr:col>
      <xdr:colOff>400050</xdr:colOff>
      <xdr:row>49</xdr:row>
      <xdr:rowOff>95250</xdr:rowOff>
    </xdr:to>
    <xdr:sp>
      <xdr:nvSpPr>
        <xdr:cNvPr id="30" name="フリーフォーム 34"/>
        <xdr:cNvSpPr>
          <a:spLocks/>
        </xdr:cNvSpPr>
      </xdr:nvSpPr>
      <xdr:spPr>
        <a:xfrm>
          <a:off x="4038600" y="6781800"/>
          <a:ext cx="247650" cy="2105025"/>
        </a:xfrm>
        <a:custGeom>
          <a:pathLst>
            <a:path h="1912620" w="533550">
              <a:moveTo>
                <a:pt x="533550" y="0"/>
              </a:moveTo>
              <a:cubicBezTo>
                <a:pt x="271295" y="267335"/>
                <a:pt x="9040" y="534670"/>
                <a:pt x="150" y="853440"/>
              </a:cubicBezTo>
              <a:cubicBezTo>
                <a:pt x="-8740" y="1172210"/>
                <a:pt x="378610" y="1696720"/>
                <a:pt x="480210" y="1912620"/>
              </a:cubicBezTo>
            </a:path>
          </a:pathLst>
        </a:custGeom>
        <a:noFill/>
        <a:ln w="9525" cmpd="sng">
          <a:solidFill>
            <a:srgbClr val="00B05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37</xdr:row>
      <xdr:rowOff>19050</xdr:rowOff>
    </xdr:from>
    <xdr:to>
      <xdr:col>2</xdr:col>
      <xdr:colOff>628650</xdr:colOff>
      <xdr:row>37</xdr:row>
      <xdr:rowOff>171450</xdr:rowOff>
    </xdr:to>
    <xdr:sp>
      <xdr:nvSpPr>
        <xdr:cNvPr id="31" name="テキスト ボックス 9"/>
        <xdr:cNvSpPr txBox="1">
          <a:spLocks noChangeArrowheads="1"/>
        </xdr:cNvSpPr>
      </xdr:nvSpPr>
      <xdr:spPr>
        <a:xfrm>
          <a:off x="2724150" y="668655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（１～６）</a:t>
          </a:r>
        </a:p>
      </xdr:txBody>
    </xdr:sp>
    <xdr:clientData/>
  </xdr:twoCellAnchor>
  <xdr:twoCellAnchor>
    <xdr:from>
      <xdr:col>2</xdr:col>
      <xdr:colOff>19050</xdr:colOff>
      <xdr:row>37</xdr:row>
      <xdr:rowOff>19050</xdr:rowOff>
    </xdr:from>
    <xdr:to>
      <xdr:col>2</xdr:col>
      <xdr:colOff>628650</xdr:colOff>
      <xdr:row>37</xdr:row>
      <xdr:rowOff>171450</xdr:rowOff>
    </xdr:to>
    <xdr:sp>
      <xdr:nvSpPr>
        <xdr:cNvPr id="32" name="テキスト ボックス 9"/>
        <xdr:cNvSpPr txBox="1">
          <a:spLocks noChangeArrowheads="1"/>
        </xdr:cNvSpPr>
      </xdr:nvSpPr>
      <xdr:spPr>
        <a:xfrm>
          <a:off x="2724150" y="668655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（１～６）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33">
      <selection activeCell="E57" sqref="E57"/>
    </sheetView>
  </sheetViews>
  <sheetFormatPr defaultColWidth="9.00390625" defaultRowHeight="13.5"/>
  <cols>
    <col min="2" max="2" width="26.50390625" style="0" customWidth="1"/>
    <col min="3" max="3" width="10.625" style="0" customWidth="1"/>
    <col min="4" max="4" width="4.875" style="0" customWidth="1"/>
    <col min="5" max="5" width="10.625" style="0" customWidth="1"/>
    <col min="6" max="6" width="4.875" style="0" customWidth="1"/>
    <col min="7" max="7" width="10.625" style="0" customWidth="1"/>
    <col min="8" max="8" width="4.875" style="0" customWidth="1"/>
    <col min="9" max="9" width="9.25390625" style="0" customWidth="1"/>
    <col min="10" max="10" width="10.00390625" style="0" customWidth="1"/>
    <col min="11" max="11" width="5.50390625" style="0" customWidth="1"/>
    <col min="13" max="14" width="1.25" style="0" customWidth="1"/>
    <col min="15" max="15" width="27.50390625" style="0" customWidth="1"/>
    <col min="16" max="16" width="6.00390625" style="0" customWidth="1"/>
    <col min="17" max="17" width="15.125" style="0" customWidth="1"/>
    <col min="18" max="18" width="15.375" style="0" customWidth="1"/>
    <col min="19" max="19" width="3.75390625" style="0" customWidth="1"/>
    <col min="20" max="20" width="4.00390625" style="0" customWidth="1"/>
    <col min="21" max="21" width="3.375" style="0" customWidth="1"/>
    <col min="22" max="22" width="26.50390625" style="0" customWidth="1"/>
    <col min="23" max="23" width="5.25390625" style="0" customWidth="1"/>
    <col min="24" max="24" width="10.75390625" style="0" customWidth="1"/>
    <col min="25" max="25" width="5.25390625" style="0" customWidth="1"/>
    <col min="26" max="26" width="10.75390625" style="0" customWidth="1"/>
  </cols>
  <sheetData>
    <row r="1" spans="2:17" ht="23.25" customHeight="1">
      <c r="B1" s="11" t="s">
        <v>55</v>
      </c>
      <c r="C1" s="2"/>
      <c r="D1" s="2"/>
      <c r="E1" s="2"/>
      <c r="F1" s="2"/>
      <c r="G1" s="2"/>
      <c r="H1" s="2"/>
      <c r="I1" s="3"/>
      <c r="J1" s="2"/>
      <c r="K1" s="2"/>
      <c r="Q1" s="55">
        <v>42457</v>
      </c>
    </row>
    <row r="2" spans="1:17" ht="13.5" customHeight="1" thickBot="1">
      <c r="A2" s="97" t="s">
        <v>57</v>
      </c>
      <c r="B2" s="11"/>
      <c r="C2" s="2"/>
      <c r="D2" s="2"/>
      <c r="E2" s="2"/>
      <c r="F2" s="2"/>
      <c r="G2" s="2"/>
      <c r="H2" s="2"/>
      <c r="I2" s="3"/>
      <c r="J2" s="2"/>
      <c r="K2" s="2"/>
      <c r="M2" s="145"/>
      <c r="Q2" s="55"/>
    </row>
    <row r="3" spans="1:17" ht="13.5" customHeight="1" thickBot="1">
      <c r="A3" s="97"/>
      <c r="B3" s="97" t="s">
        <v>122</v>
      </c>
      <c r="C3" s="97"/>
      <c r="D3" s="97"/>
      <c r="E3" s="70" t="s">
        <v>4</v>
      </c>
      <c r="F3" s="108" t="s">
        <v>61</v>
      </c>
      <c r="G3" s="97" t="s">
        <v>123</v>
      </c>
      <c r="H3" s="97"/>
      <c r="I3" s="97"/>
      <c r="J3" s="97"/>
      <c r="K3" s="97"/>
      <c r="M3" s="145"/>
      <c r="Q3" s="55"/>
    </row>
    <row r="4" spans="1:17" ht="13.5" customHeight="1">
      <c r="A4" s="97"/>
      <c r="B4" s="97"/>
      <c r="C4" s="97"/>
      <c r="D4" s="97"/>
      <c r="E4" s="13">
        <v>2</v>
      </c>
      <c r="F4" s="103">
        <v>1</v>
      </c>
      <c r="G4" s="97" t="s">
        <v>124</v>
      </c>
      <c r="H4" s="97"/>
      <c r="I4" s="97"/>
      <c r="J4" s="97"/>
      <c r="K4" s="97"/>
      <c r="M4" s="145"/>
      <c r="Q4" s="55"/>
    </row>
    <row r="5" spans="1:17" ht="13.5" customHeight="1">
      <c r="A5" s="97" t="s">
        <v>94</v>
      </c>
      <c r="B5" s="11"/>
      <c r="C5" s="2"/>
      <c r="D5" s="2"/>
      <c r="E5" s="2"/>
      <c r="F5" s="2"/>
      <c r="G5" s="2"/>
      <c r="H5" s="2"/>
      <c r="I5" s="3"/>
      <c r="J5" s="2"/>
      <c r="K5" s="2"/>
      <c r="M5" s="145"/>
      <c r="Q5" s="55"/>
    </row>
    <row r="6" spans="1:17" ht="13.5" customHeight="1">
      <c r="A6" s="97" t="s">
        <v>93</v>
      </c>
      <c r="B6" s="11"/>
      <c r="C6" s="2"/>
      <c r="D6" s="2"/>
      <c r="E6" s="2"/>
      <c r="F6" s="2"/>
      <c r="G6" s="2"/>
      <c r="H6" s="2"/>
      <c r="I6" s="3"/>
      <c r="J6" s="2"/>
      <c r="K6" s="2"/>
      <c r="M6" s="145"/>
      <c r="Q6" s="55"/>
    </row>
    <row r="7" spans="1:17" ht="13.5" customHeight="1">
      <c r="A7" s="97" t="s">
        <v>91</v>
      </c>
      <c r="B7" s="11"/>
      <c r="C7" s="2"/>
      <c r="D7" s="2"/>
      <c r="E7" s="2"/>
      <c r="F7" s="2"/>
      <c r="G7" s="2"/>
      <c r="H7" s="2"/>
      <c r="I7" s="3"/>
      <c r="J7" s="2"/>
      <c r="K7" s="2"/>
      <c r="Q7" s="55"/>
    </row>
    <row r="8" ht="14.25" thickBot="1">
      <c r="M8" s="2"/>
    </row>
    <row r="9" spans="2:20" ht="14.25" thickBot="1">
      <c r="B9" s="90" t="s">
        <v>56</v>
      </c>
      <c r="C9" s="94" t="s">
        <v>128</v>
      </c>
      <c r="D9" s="153" t="s">
        <v>61</v>
      </c>
      <c r="E9" s="94" t="s">
        <v>5</v>
      </c>
      <c r="F9" s="153" t="s">
        <v>61</v>
      </c>
      <c r="G9" s="94" t="s">
        <v>6</v>
      </c>
      <c r="H9" s="153" t="s">
        <v>61</v>
      </c>
      <c r="I9" s="95" t="s">
        <v>19</v>
      </c>
      <c r="J9" s="96" t="s">
        <v>62</v>
      </c>
      <c r="M9" s="71"/>
      <c r="O9" s="99" t="s">
        <v>81</v>
      </c>
      <c r="P9" s="100"/>
      <c r="Q9" s="179"/>
      <c r="R9" s="179"/>
      <c r="T9" t="s">
        <v>97</v>
      </c>
    </row>
    <row r="10" spans="2:25" ht="14.25" thickBot="1">
      <c r="B10" s="82" t="s">
        <v>63</v>
      </c>
      <c r="C10" s="75"/>
      <c r="D10" s="158"/>
      <c r="E10" s="75"/>
      <c r="F10" s="158"/>
      <c r="G10" s="75"/>
      <c r="H10" s="159"/>
      <c r="I10" s="138">
        <f>ROUNDDOWN((C10*3300*IF(C10=1,1,3/3.3)),-2)+E10*600+G10*400+(COUNT(C10:C10)*D10*700+COUNT(E10:E10)*F10*250+COUNT(G10:G10)*H10*200)</f>
        <v>0</v>
      </c>
      <c r="J10" s="12">
        <f>C10*1055+E10*114.8+G10*70.6+(COUNT(C10:C10)*D10*28+COUNT(E10:E10)*F10*2.8+COUNT(G10:G10)*H10*1.68)</f>
        <v>0</v>
      </c>
      <c r="L10" s="7"/>
      <c r="M10" s="72"/>
      <c r="O10" s="1" t="s">
        <v>56</v>
      </c>
      <c r="P10" s="69" t="s">
        <v>35</v>
      </c>
      <c r="Q10" s="69" t="s">
        <v>125</v>
      </c>
      <c r="R10" s="69" t="s">
        <v>126</v>
      </c>
      <c r="T10" s="121" t="s">
        <v>98</v>
      </c>
      <c r="U10" s="225"/>
      <c r="V10" s="122"/>
      <c r="W10" s="122"/>
      <c r="X10" s="123"/>
      <c r="Y10" s="2"/>
    </row>
    <row r="11" spans="2:26" ht="14.25" thickBot="1">
      <c r="B11" s="85" t="s">
        <v>64</v>
      </c>
      <c r="C11" s="76"/>
      <c r="D11" s="160"/>
      <c r="E11" s="76"/>
      <c r="F11" s="160"/>
      <c r="G11" s="76"/>
      <c r="H11" s="161"/>
      <c r="I11" s="139">
        <f>ROUNDDOWN((C11*3300*IF(C11=1,1,3/3.3)),-2)+E11*600+G11*400+(COUNT(C11:C11)*D11*700+COUNT(E11:E11)*F11*250+COUNT(G11:G11)*H11*200)</f>
        <v>0</v>
      </c>
      <c r="J11" s="14">
        <f>C11*1050+E11*114.8+G11*70.6+(COUNT(C11:C11)*D11*28+COUNT(E11:E11)*F11*2.8+COUNT(G11:G11)*H11*1.68)</f>
        <v>0</v>
      </c>
      <c r="L11" s="3"/>
      <c r="M11" s="72"/>
      <c r="O11" s="12" t="s">
        <v>96</v>
      </c>
      <c r="P11" s="12">
        <v>2</v>
      </c>
      <c r="Q11" s="18">
        <f>Q9*600*P11</f>
        <v>0</v>
      </c>
      <c r="R11" s="18">
        <f>R9*400*P11</f>
        <v>0</v>
      </c>
      <c r="T11" s="224"/>
      <c r="U11" s="229" t="s">
        <v>100</v>
      </c>
      <c r="V11" s="124"/>
      <c r="W11" s="125"/>
      <c r="X11" s="126"/>
      <c r="Y11" s="119"/>
      <c r="Z11" s="2"/>
    </row>
    <row r="12" spans="2:27" ht="14.25" thickBot="1">
      <c r="B12" s="85" t="s">
        <v>65</v>
      </c>
      <c r="C12" s="76"/>
      <c r="D12" s="160"/>
      <c r="E12" s="76"/>
      <c r="F12" s="160"/>
      <c r="G12" s="76"/>
      <c r="H12" s="162"/>
      <c r="I12" s="139">
        <f>ROUNDDOWN((C12*3300*IF(C12=1,1,3/3.3)),-2)+E12*600+G12*400+(COUNT(C12:C12)*D12*700+COUNT(E12:E12)*F12*250+COUNT(G12:G12)*H12*200)</f>
        <v>0</v>
      </c>
      <c r="J12" s="14">
        <f>C12*1050+E12*114.8+G12*70.6+(COUNT(C12:C12)*D12*28+COUNT(E12:E12)*F12*2.8+COUNT(G12:G12)*H12*1.68)</f>
        <v>0</v>
      </c>
      <c r="L12" s="7"/>
      <c r="M12" s="72"/>
      <c r="O12" s="57" t="s">
        <v>80</v>
      </c>
      <c r="P12" s="57">
        <v>1</v>
      </c>
      <c r="Q12" s="110">
        <f>Q9*850*P12</f>
        <v>0</v>
      </c>
      <c r="R12" s="110">
        <f>R9*600*P12</f>
        <v>0</v>
      </c>
      <c r="T12" s="224"/>
      <c r="U12" s="127"/>
      <c r="V12" s="2"/>
      <c r="W12" s="2"/>
      <c r="X12" s="2"/>
      <c r="Y12" s="2"/>
      <c r="Z12" s="2"/>
      <c r="AA12" s="2"/>
    </row>
    <row r="13" spans="2:27" ht="14.25" thickBot="1">
      <c r="B13" s="91" t="s">
        <v>66</v>
      </c>
      <c r="C13" s="77"/>
      <c r="D13" s="163"/>
      <c r="E13" s="77"/>
      <c r="F13" s="163"/>
      <c r="G13" s="77"/>
      <c r="H13" s="164"/>
      <c r="I13" s="140">
        <f>ROUNDDOWN((C13*3800*IF(C13=1,1,3/3.3)),-2)+E13*600+G13*400+(COUNT(C13:C13)*D13*700+COUNT(E13:E13)*F13*250+COUNT(G13:G13)*H13*200)</f>
        <v>0</v>
      </c>
      <c r="J13" s="57">
        <f>C13*1055+E13*114.8+G13*70.6+(COUNT(C13:C13)*D13*28+COUNT(E13:E13)*F13*2.8+COUNT(G13:G13)*H13*1.68)</f>
        <v>0</v>
      </c>
      <c r="L13" s="7"/>
      <c r="M13" s="72"/>
      <c r="O13" s="16" t="s">
        <v>1</v>
      </c>
      <c r="P13" s="16">
        <v>1</v>
      </c>
      <c r="Q13" s="151">
        <f>Q9*600*P13</f>
        <v>0</v>
      </c>
      <c r="R13" s="151">
        <f>R9*400*P13</f>
        <v>0</v>
      </c>
      <c r="T13" s="226"/>
      <c r="U13" s="46"/>
      <c r="V13" s="215" t="s">
        <v>56</v>
      </c>
      <c r="W13" s="187" t="s">
        <v>35</v>
      </c>
      <c r="X13" s="188" t="s">
        <v>127</v>
      </c>
      <c r="Y13" s="187" t="s">
        <v>35</v>
      </c>
      <c r="Z13" s="189" t="s">
        <v>126</v>
      </c>
      <c r="AA13" s="209"/>
    </row>
    <row r="14" spans="2:27" ht="13.5">
      <c r="B14" s="83" t="s">
        <v>67</v>
      </c>
      <c r="C14" s="78"/>
      <c r="D14" s="165"/>
      <c r="E14" s="78"/>
      <c r="F14" s="165"/>
      <c r="G14" s="78"/>
      <c r="H14" s="166"/>
      <c r="I14" s="141">
        <f>ROUNDDOWN((C14*3300*IF(C14=1,1,3/3.3)),-2)+E14*600+G14*400+(COUNT(C14:C14)*D14*700+COUNT(E14:E14)*F14*250+COUNT(G14:G14)*H14*200)</f>
        <v>0</v>
      </c>
      <c r="J14" s="15">
        <f>C14*1050+E14*114.8+G14*70.6+(COUNT(C14:C14)*D14*28+COUNT(E14:E14)*F14*2.8+COUNT(G14:G14)*H14*1.68)</f>
        <v>0</v>
      </c>
      <c r="L14" s="7"/>
      <c r="M14" s="72"/>
      <c r="O14" s="31" t="s">
        <v>3</v>
      </c>
      <c r="P14" s="31">
        <v>1</v>
      </c>
      <c r="Q14" s="46">
        <f>Q9*600*P14</f>
        <v>0</v>
      </c>
      <c r="R14" s="46">
        <f>R9*400*P14</f>
        <v>0</v>
      </c>
      <c r="T14" s="226" t="s">
        <v>103</v>
      </c>
      <c r="U14" s="46" t="s">
        <v>101</v>
      </c>
      <c r="V14" s="216" t="s">
        <v>0</v>
      </c>
      <c r="W14" s="251"/>
      <c r="X14" s="190">
        <f>600*W14</f>
        <v>0</v>
      </c>
      <c r="Y14" s="251"/>
      <c r="Z14" s="191">
        <f>400*Y14</f>
        <v>0</v>
      </c>
      <c r="AA14" s="197"/>
    </row>
    <row r="15" spans="2:27" ht="14.25" thickBot="1">
      <c r="B15" s="83" t="s">
        <v>68</v>
      </c>
      <c r="C15" s="78"/>
      <c r="D15" s="165"/>
      <c r="E15" s="78"/>
      <c r="F15" s="165"/>
      <c r="G15" s="78"/>
      <c r="H15" s="167"/>
      <c r="I15" s="141">
        <f>ROUNDDOWN((C15*3300*IF(C15=1,1,3/3.3)),-2)+E15*600+G15*400+(COUNT(C15:C15)*D15*700+COUNT(E15:E15)*F15*250+COUNT(G15:G15)*H15*200)</f>
        <v>0</v>
      </c>
      <c r="J15" s="15">
        <f>C15*1050+E15*114.8+G15*70.6+(COUNT(C15:C15)*D15*28+COUNT(E15:E15)*F15*2.8+COUNT(G15:G15)*H15*1.68)</f>
        <v>0</v>
      </c>
      <c r="L15" s="7"/>
      <c r="M15" s="72"/>
      <c r="O15" s="20" t="s">
        <v>130</v>
      </c>
      <c r="P15" s="20">
        <v>1</v>
      </c>
      <c r="Q15" s="19">
        <f>Q9*1200*P15</f>
        <v>0</v>
      </c>
      <c r="R15" s="19">
        <f>R9*1200*P15</f>
        <v>0</v>
      </c>
      <c r="T15" s="227" t="s">
        <v>103</v>
      </c>
      <c r="U15" s="31" t="s">
        <v>101</v>
      </c>
      <c r="V15" s="217" t="s">
        <v>80</v>
      </c>
      <c r="W15" s="252"/>
      <c r="X15" s="113">
        <f>850*W15</f>
        <v>0</v>
      </c>
      <c r="Y15" s="252"/>
      <c r="Z15" s="180">
        <f>600*Y15</f>
        <v>0</v>
      </c>
      <c r="AA15" s="197"/>
    </row>
    <row r="16" spans="2:27" ht="14.25" thickBot="1">
      <c r="B16" s="92" t="s">
        <v>69</v>
      </c>
      <c r="C16" s="79"/>
      <c r="D16" s="168"/>
      <c r="E16" s="79"/>
      <c r="F16" s="168"/>
      <c r="G16" s="79"/>
      <c r="H16" s="169"/>
      <c r="I16" s="142">
        <f>ROUNDDOWN((C16*3800*IF(C16=1,1,3/3.3)),-2)+E16*600+G16*400+(COUNT(C16:C16)*D16*700+COUNT(E16:E16)*F16*250+COUNT(G16:G16)*H16*200)</f>
        <v>0</v>
      </c>
      <c r="J16" s="59">
        <f>C16*1055+E16*114.8+G16*70.6+(COUNT(C16:C16)*D16*28+COUNT(E16:E16)*F16*2.8+COUNT(G16:G16)*H16*1.68)</f>
        <v>0</v>
      </c>
      <c r="L16" s="7"/>
      <c r="M16" s="72"/>
      <c r="O16" s="147"/>
      <c r="P16" s="6" t="s">
        <v>20</v>
      </c>
      <c r="Q16" s="9">
        <f>SUM(Q11:Q15)</f>
        <v>0</v>
      </c>
      <c r="R16" s="10">
        <f>SUM(R11:R15)</f>
        <v>0</v>
      </c>
      <c r="T16" s="227" t="s">
        <v>103</v>
      </c>
      <c r="U16" s="31" t="s">
        <v>102</v>
      </c>
      <c r="V16" s="218" t="s">
        <v>85</v>
      </c>
      <c r="W16" s="253"/>
      <c r="X16" s="114">
        <f>600*W16</f>
        <v>0</v>
      </c>
      <c r="Y16" s="253"/>
      <c r="Z16" s="181">
        <f>400*Y16</f>
        <v>0</v>
      </c>
      <c r="AA16" s="197"/>
    </row>
    <row r="17" spans="2:27" ht="14.25" thickBot="1">
      <c r="B17" s="93" t="s">
        <v>27</v>
      </c>
      <c r="C17" s="80"/>
      <c r="D17" s="74"/>
      <c r="E17" s="80"/>
      <c r="F17" s="74"/>
      <c r="G17" s="174"/>
      <c r="H17" s="154"/>
      <c r="I17" s="143">
        <f>ROUNDDOWN((C17*3300*IF(C17=1,1,3/3.3)),-2)+E17*600+G17*400</f>
        <v>0</v>
      </c>
      <c r="J17" s="16">
        <f>C17*1060+E17*(121+6.3)+G17*70.6</f>
        <v>0</v>
      </c>
      <c r="L17" s="7"/>
      <c r="M17" s="72"/>
      <c r="O17" s="266" t="s">
        <v>28</v>
      </c>
      <c r="P17" s="261"/>
      <c r="Q17" s="150" t="s">
        <v>10</v>
      </c>
      <c r="R17" s="69" t="s">
        <v>11</v>
      </c>
      <c r="T17" s="227" t="s">
        <v>103</v>
      </c>
      <c r="U17" s="31" t="s">
        <v>102</v>
      </c>
      <c r="V17" s="217" t="s">
        <v>121</v>
      </c>
      <c r="W17" s="252"/>
      <c r="X17" s="113">
        <f>850*W17</f>
        <v>0</v>
      </c>
      <c r="Y17" s="252"/>
      <c r="Z17" s="180">
        <f>600*Y17</f>
        <v>0</v>
      </c>
      <c r="AA17" s="197"/>
    </row>
    <row r="18" spans="2:27" ht="14.25" thickBot="1">
      <c r="B18" s="157" t="s">
        <v>120</v>
      </c>
      <c r="C18" s="173"/>
      <c r="D18" s="74"/>
      <c r="E18" s="173"/>
      <c r="F18" s="74"/>
      <c r="G18" s="175"/>
      <c r="H18" s="155"/>
      <c r="I18" s="146">
        <f>ROUNDDOWN((C18*4950*IF(C18=1,1,3/3.3)),-2)+E18*900+G18*600</f>
        <v>0</v>
      </c>
      <c r="J18" s="16">
        <f>C18*1060+E18*(121+6.3)+G18*70.6</f>
        <v>0</v>
      </c>
      <c r="L18" s="7"/>
      <c r="M18" s="72"/>
      <c r="T18" s="227" t="s">
        <v>105</v>
      </c>
      <c r="U18" s="31" t="s">
        <v>102</v>
      </c>
      <c r="V18" s="41" t="s">
        <v>1</v>
      </c>
      <c r="W18" s="254"/>
      <c r="X18" s="137">
        <f>600*W18</f>
        <v>0</v>
      </c>
      <c r="Y18" s="254"/>
      <c r="Z18" s="182">
        <f>400*Y18</f>
        <v>0</v>
      </c>
      <c r="AA18" s="197"/>
    </row>
    <row r="19" spans="2:27" ht="14.25" thickBot="1">
      <c r="B19" s="93" t="s">
        <v>58</v>
      </c>
      <c r="C19" s="80"/>
      <c r="D19" s="74"/>
      <c r="E19" s="80"/>
      <c r="F19" s="74"/>
      <c r="G19" s="174"/>
      <c r="H19" s="156"/>
      <c r="I19" s="143">
        <f>ROUNDDOWN((C19*6600*IF(C19=1,1,3/3.3)),-2)+E19*1200+G19*800</f>
        <v>0</v>
      </c>
      <c r="J19" s="16">
        <f>C19*1060+E19*(121+6.3)+G19*70.6</f>
        <v>0</v>
      </c>
      <c r="L19" s="7"/>
      <c r="M19" s="72"/>
      <c r="O19" s="98" t="s">
        <v>82</v>
      </c>
      <c r="P19" s="101"/>
      <c r="Q19" s="179"/>
      <c r="R19" s="179"/>
      <c r="T19" s="227" t="s">
        <v>105</v>
      </c>
      <c r="U19" s="31" t="s">
        <v>102</v>
      </c>
      <c r="V19" s="41" t="s">
        <v>89</v>
      </c>
      <c r="W19" s="254"/>
      <c r="X19" s="137">
        <f>900*W19</f>
        <v>0</v>
      </c>
      <c r="Y19" s="254"/>
      <c r="Z19" s="182">
        <f>600*Y19</f>
        <v>0</v>
      </c>
      <c r="AA19" s="197"/>
    </row>
    <row r="20" spans="2:27" ht="14.25" thickBot="1">
      <c r="B20" s="85" t="s">
        <v>70</v>
      </c>
      <c r="C20" s="76"/>
      <c r="D20" s="160"/>
      <c r="E20" s="76"/>
      <c r="F20" s="160"/>
      <c r="G20" s="76"/>
      <c r="H20" s="162"/>
      <c r="I20" s="139">
        <f>ROUNDDOWN((C20*2800*IF(C20=1,1,3/3.3)),-2)+E20*600+G20*400+(COUNT(C20:C20)*D20*700+COUNT(E20:E20)*F20*250+COUNT(G20:G20)*H20*200)</f>
        <v>0</v>
      </c>
      <c r="J20" s="14">
        <f>C20*1055+E20*114.8+G20*70.6+(COUNT(C20:C20)*D20*28+COUNT(E20:E20)*F20*2.8+COUNT(G20:G20)*H20*1.68)</f>
        <v>0</v>
      </c>
      <c r="L20" s="7"/>
      <c r="M20" s="72"/>
      <c r="O20" s="4" t="s">
        <v>56</v>
      </c>
      <c r="P20" s="8" t="s">
        <v>35</v>
      </c>
      <c r="Q20" s="69" t="s">
        <v>125</v>
      </c>
      <c r="R20" s="69" t="s">
        <v>126</v>
      </c>
      <c r="T20" s="227" t="s">
        <v>105</v>
      </c>
      <c r="U20" s="31" t="s">
        <v>102</v>
      </c>
      <c r="V20" s="219" t="s">
        <v>90</v>
      </c>
      <c r="W20" s="255"/>
      <c r="X20" s="115">
        <f>1200*W20</f>
        <v>0</v>
      </c>
      <c r="Y20" s="255"/>
      <c r="Z20" s="183">
        <f>800*Y20</f>
        <v>0</v>
      </c>
      <c r="AA20" s="197"/>
    </row>
    <row r="21" spans="2:27" ht="13.5">
      <c r="B21" s="85" t="s">
        <v>71</v>
      </c>
      <c r="C21" s="76"/>
      <c r="D21" s="160"/>
      <c r="E21" s="76"/>
      <c r="F21" s="160"/>
      <c r="G21" s="76"/>
      <c r="H21" s="161"/>
      <c r="I21" s="139">
        <f>ROUNDDOWN((C21*2800*IF(C21=1,1,3/3.3)),-2)+E21*600+G21*400+(COUNT(C21:C21)*D21*700+COUNT(E21:E21)*F21*250+COUNT(G21:G21)*H21*200)</f>
        <v>0</v>
      </c>
      <c r="J21" s="14">
        <f>C21*1050+E21*114.8+G21*70.6+(COUNT(C21:C21)*D21*28+COUNT(E21:E21)*F21*2.8+COUNT(G21:G21)*H21*1.68)</f>
        <v>0</v>
      </c>
      <c r="L21" s="7"/>
      <c r="M21" s="72"/>
      <c r="O21" s="14" t="s">
        <v>29</v>
      </c>
      <c r="P21" s="18">
        <v>1</v>
      </c>
      <c r="Q21" s="128">
        <f>Q19*600*P21</f>
        <v>0</v>
      </c>
      <c r="R21" s="12">
        <f>R19*400*P21</f>
        <v>0</v>
      </c>
      <c r="T21" s="227" t="s">
        <v>104</v>
      </c>
      <c r="U21" s="31" t="s">
        <v>101</v>
      </c>
      <c r="V21" s="112" t="s">
        <v>29</v>
      </c>
      <c r="W21" s="253"/>
      <c r="X21" s="114">
        <f>600*W21</f>
        <v>0</v>
      </c>
      <c r="Y21" s="253"/>
      <c r="Z21" s="181">
        <f>400*Y21</f>
        <v>0</v>
      </c>
      <c r="AA21" s="197"/>
    </row>
    <row r="22" spans="2:27" ht="13.5">
      <c r="B22" s="85" t="s">
        <v>72</v>
      </c>
      <c r="C22" s="76"/>
      <c r="D22" s="160"/>
      <c r="E22" s="76"/>
      <c r="F22" s="160"/>
      <c r="G22" s="76"/>
      <c r="H22" s="162"/>
      <c r="I22" s="139">
        <f>ROUNDDOWN((C22*2800*IF(C22=1,1,3/3.3)),-2)+E22*600+G22*400+(COUNT(C22:C22)*D22*700+COUNT(E22:E22)*F22*250+COUNT(G22:G22)*H22*200)</f>
        <v>0</v>
      </c>
      <c r="J22" s="14">
        <f>C22*1050+E22*114.8+G22*70.6+(COUNT(C22:C22)*D22*28+COUNT(E22:E22)*F22*2.8+COUNT(G22:G22)*H22*1.68)</f>
        <v>0</v>
      </c>
      <c r="L22" s="7"/>
      <c r="M22" s="72"/>
      <c r="O22" s="120" t="s">
        <v>116</v>
      </c>
      <c r="P22" s="120">
        <v>1</v>
      </c>
      <c r="Q22" s="120">
        <f>Q19*850*P22</f>
        <v>0</v>
      </c>
      <c r="R22" s="18">
        <f>R19*600*P22</f>
        <v>0</v>
      </c>
      <c r="T22" s="227" t="s">
        <v>104</v>
      </c>
      <c r="U22" s="222" t="s">
        <v>101</v>
      </c>
      <c r="V22" s="218" t="s">
        <v>99</v>
      </c>
      <c r="W22" s="253"/>
      <c r="X22" s="114">
        <f>850*W22</f>
        <v>0</v>
      </c>
      <c r="Y22" s="253"/>
      <c r="Z22" s="181">
        <f>600*Y22</f>
        <v>0</v>
      </c>
      <c r="AA22" s="197"/>
    </row>
    <row r="23" spans="2:27" ht="13.5">
      <c r="B23" s="91" t="s">
        <v>73</v>
      </c>
      <c r="C23" s="77"/>
      <c r="D23" s="163"/>
      <c r="E23" s="77"/>
      <c r="F23" s="163"/>
      <c r="G23" s="77"/>
      <c r="H23" s="164"/>
      <c r="I23" s="140">
        <f>ROUNDDOWN((C23*3300*IF(C23=1,1,3/3.3)),-2)+E23*600+G23*400+(COUNT(C23:C23)*D23*700+COUNT(E23:E23)*F23*250+COUNT(G23:G23)*H23*200)</f>
        <v>0</v>
      </c>
      <c r="J23" s="57">
        <f>C23*1055+E23*114.8+G23*70.6+(COUNT(C23:C23)*D23*28+COUNT(E23:E23)*F23*2.8+COUNT(G23:G23)*H23*1.68)</f>
        <v>0</v>
      </c>
      <c r="L23" s="7"/>
      <c r="M23" s="72"/>
      <c r="O23" s="14" t="s">
        <v>30</v>
      </c>
      <c r="P23" s="14">
        <v>1</v>
      </c>
      <c r="Q23" s="128">
        <f>Q19*600*P23</f>
        <v>0</v>
      </c>
      <c r="R23" s="18">
        <f>R19*400*P23</f>
        <v>0</v>
      </c>
      <c r="T23" s="227" t="s">
        <v>104</v>
      </c>
      <c r="U23" s="31" t="s">
        <v>102</v>
      </c>
      <c r="V23" s="112" t="s">
        <v>87</v>
      </c>
      <c r="W23" s="253"/>
      <c r="X23" s="114">
        <f>600*W23</f>
        <v>0</v>
      </c>
      <c r="Y23" s="253"/>
      <c r="Z23" s="181">
        <f>400*Y23</f>
        <v>0</v>
      </c>
      <c r="AA23" s="197"/>
    </row>
    <row r="24" spans="2:27" ht="13.5">
      <c r="B24" s="83" t="s">
        <v>74</v>
      </c>
      <c r="C24" s="78"/>
      <c r="D24" s="165"/>
      <c r="E24" s="78"/>
      <c r="F24" s="165"/>
      <c r="G24" s="78"/>
      <c r="H24" s="166"/>
      <c r="I24" s="141">
        <f>ROUNDDOWN((C24*2800*IF(C24=1,1,3/3.3)),-2)+E24*600+G24*400+(COUNT(C24:C24)*D24*700+COUNT(E24:E24)*F24*250+COUNT(G24:G24)*H24*200)</f>
        <v>0</v>
      </c>
      <c r="J24" s="15">
        <f>C24*1050+E24*114.8+G24*70.6+(COUNT(C24:C24)*D24*28+COUNT(E24:E24)*F24*2.8+COUNT(G24:G24)*H24*1.68)</f>
        <v>0</v>
      </c>
      <c r="L24" s="7"/>
      <c r="M24" s="72"/>
      <c r="O24" s="16" t="s">
        <v>1</v>
      </c>
      <c r="P24" s="16">
        <v>1</v>
      </c>
      <c r="Q24" s="152">
        <f>Q19*600*P24</f>
        <v>0</v>
      </c>
      <c r="R24" s="151">
        <f>R19*400*P24</f>
        <v>0</v>
      </c>
      <c r="T24" s="227" t="s">
        <v>104</v>
      </c>
      <c r="U24" s="31" t="s">
        <v>102</v>
      </c>
      <c r="V24" s="218" t="s">
        <v>88</v>
      </c>
      <c r="W24" s="253"/>
      <c r="X24" s="114">
        <f>850*W24</f>
        <v>0</v>
      </c>
      <c r="Y24" s="253"/>
      <c r="Z24" s="181">
        <f>600*Y24</f>
        <v>0</v>
      </c>
      <c r="AA24" s="197"/>
    </row>
    <row r="25" spans="2:27" ht="13.5">
      <c r="B25" s="83" t="s">
        <v>75</v>
      </c>
      <c r="C25" s="78"/>
      <c r="D25" s="165"/>
      <c r="E25" s="78"/>
      <c r="F25" s="165"/>
      <c r="G25" s="78"/>
      <c r="H25" s="167"/>
      <c r="I25" s="141">
        <f>ROUNDDOWN((C25*2800*IF(C25=1,1,3/3.3)),-2)+E25*600+G25*400+(COUNT(C25:C25)*D25*700+COUNT(E25:E25)*F25*250+COUNT(G25:G25)*H25*200)</f>
        <v>0</v>
      </c>
      <c r="J25" s="15">
        <f>C25*1050+E25*114.8+G25*70.6+(COUNT(C25:C25)*D25*28+COUNT(E25:E25)*F25*2.8+COUNT(G25:G25)*H25*1.68)</f>
        <v>0</v>
      </c>
      <c r="L25" s="7"/>
      <c r="M25" s="72"/>
      <c r="O25" s="31" t="s">
        <v>3</v>
      </c>
      <c r="P25" s="31">
        <v>1</v>
      </c>
      <c r="Q25" s="129">
        <f>Q19*600*P25</f>
        <v>0</v>
      </c>
      <c r="R25" s="46">
        <f>R19*400*P25</f>
        <v>0</v>
      </c>
      <c r="T25" s="227" t="s">
        <v>104</v>
      </c>
      <c r="U25" s="31" t="s">
        <v>101</v>
      </c>
      <c r="V25" s="112" t="s">
        <v>30</v>
      </c>
      <c r="W25" s="253"/>
      <c r="X25" s="112">
        <f>600*W25</f>
        <v>0</v>
      </c>
      <c r="Y25" s="258"/>
      <c r="Z25" s="58">
        <f>400*Y25</f>
        <v>0</v>
      </c>
      <c r="AA25" s="197"/>
    </row>
    <row r="26" spans="2:27" ht="14.25" thickBot="1">
      <c r="B26" s="83" t="s">
        <v>76</v>
      </c>
      <c r="C26" s="78"/>
      <c r="D26" s="165"/>
      <c r="E26" s="78"/>
      <c r="F26" s="165"/>
      <c r="G26" s="78"/>
      <c r="H26" s="166"/>
      <c r="I26" s="141">
        <f>ROUNDDOWN((C26*2800*IF(C26=1,1,3/3.3)),-2)+E26*600+G26*400+(COUNT(C26:C26)*D26*700+COUNT(E26:E26)*F26*250+COUNT(G26:G26)*H26*200)</f>
        <v>0</v>
      </c>
      <c r="J26" s="15">
        <f>C26*1050+E26*114.8+G26*70.6+(COUNT(C26:C26)*D26*28+COUNT(E26:E26)*F26*2.8+COUNT(G26:G26)*H26*1.68)</f>
        <v>0</v>
      </c>
      <c r="L26" s="7"/>
      <c r="M26" s="72"/>
      <c r="O26" s="17" t="s">
        <v>130</v>
      </c>
      <c r="P26" s="20">
        <v>1</v>
      </c>
      <c r="Q26" s="130">
        <f>Q19*1200*P26</f>
        <v>0</v>
      </c>
      <c r="R26" s="17">
        <f>R19*1200*P26</f>
        <v>0</v>
      </c>
      <c r="T26" s="227" t="s">
        <v>104</v>
      </c>
      <c r="U26" s="31" t="s">
        <v>102</v>
      </c>
      <c r="V26" s="218" t="s">
        <v>34</v>
      </c>
      <c r="W26" s="253"/>
      <c r="X26" s="114">
        <f>600*W26</f>
        <v>0</v>
      </c>
      <c r="Y26" s="253"/>
      <c r="Z26" s="181">
        <f>400*Y26</f>
        <v>0</v>
      </c>
      <c r="AA26" s="197"/>
    </row>
    <row r="27" spans="2:27" ht="14.25" thickBot="1">
      <c r="B27" s="92" t="s">
        <v>77</v>
      </c>
      <c r="C27" s="79"/>
      <c r="D27" s="168"/>
      <c r="E27" s="79"/>
      <c r="F27" s="168"/>
      <c r="G27" s="79"/>
      <c r="H27" s="170"/>
      <c r="I27" s="142">
        <f>ROUNDDOWN((C27*3300*IF(C27=1,1,3/3.3)),-2)+E27*600+G27*400+(COUNT(C27:C27)*D27*700+COUNT(E27:E27)*F27*250+COUNT(G27:G27)*H27*200)</f>
        <v>0</v>
      </c>
      <c r="J27" s="59">
        <f>C27*1055+E27*114.8+G27*70.6+(COUNT(C27:C27)*D27*28+COUNT(E27:E27)*F27*2.8+COUNT(G27:G27)*H27*1.68)</f>
        <v>0</v>
      </c>
      <c r="L27" s="7"/>
      <c r="M27" s="72"/>
      <c r="O27" s="147"/>
      <c r="P27" s="6" t="s">
        <v>20</v>
      </c>
      <c r="Q27" s="10">
        <f>SUM(Q21:Q26)</f>
        <v>0</v>
      </c>
      <c r="R27" s="10">
        <f>SUM(R21:R26)</f>
        <v>0</v>
      </c>
      <c r="T27" s="227" t="s">
        <v>104</v>
      </c>
      <c r="U27" s="31" t="s">
        <v>101</v>
      </c>
      <c r="V27" s="220" t="s">
        <v>3</v>
      </c>
      <c r="W27" s="256"/>
      <c r="X27" s="116">
        <f>600*W27</f>
        <v>0</v>
      </c>
      <c r="Y27" s="256"/>
      <c r="Z27" s="184">
        <f>400*Y27</f>
        <v>0</v>
      </c>
      <c r="AA27" s="197"/>
    </row>
    <row r="28" spans="2:27" ht="14.25" thickBot="1">
      <c r="B28" s="84" t="s">
        <v>78</v>
      </c>
      <c r="C28" s="81"/>
      <c r="D28" s="171"/>
      <c r="E28" s="81"/>
      <c r="F28" s="171"/>
      <c r="G28" s="81"/>
      <c r="H28" s="172"/>
      <c r="I28" s="144">
        <f>ROUNDDOWN((C28*2600*IF(C28=1,1,3/3.3)),-2)+E28*600+G28*400+(COUNT(C28:C28)*D28*700+COUNT(E28:E28)*F28*250+COUNT(G28:G28)*H28*200)</f>
        <v>0</v>
      </c>
      <c r="J28" s="31">
        <f>C28*1050+E28*114.8+G28*70.6+(COUNT(C28:C28)*D28*28+COUNT(E28:E28)*F28*2.8+COUNT(G28:G28)*H28*1.68)</f>
        <v>0</v>
      </c>
      <c r="L28" s="7"/>
      <c r="M28" s="72"/>
      <c r="O28" s="266" t="s">
        <v>28</v>
      </c>
      <c r="P28" s="261"/>
      <c r="Q28" s="8" t="s">
        <v>10</v>
      </c>
      <c r="R28" s="69" t="s">
        <v>11</v>
      </c>
      <c r="T28" s="228" t="s">
        <v>104</v>
      </c>
      <c r="U28" s="223" t="s">
        <v>102</v>
      </c>
      <c r="V28" s="221" t="s">
        <v>86</v>
      </c>
      <c r="W28" s="257"/>
      <c r="X28" s="192">
        <f>600*W28</f>
        <v>0</v>
      </c>
      <c r="Y28" s="259"/>
      <c r="Z28" s="193">
        <f>400*Y28</f>
        <v>0</v>
      </c>
      <c r="AA28" s="197"/>
    </row>
    <row r="29" spans="2:26" ht="14.25" thickBot="1">
      <c r="B29" s="85" t="s">
        <v>79</v>
      </c>
      <c r="C29" s="76"/>
      <c r="D29" s="160"/>
      <c r="E29" s="76"/>
      <c r="F29" s="160"/>
      <c r="G29" s="76"/>
      <c r="H29" s="161"/>
      <c r="I29" s="139">
        <f>ROUNDDOWN((C29*1500*IF(C29=1,1,3/3.3)),-2)+E29*600+G29*400+(COUNT(C29:C29)*D29*700+COUNT(E29:E29)*F29*250+COUNT(G29:G29)*H29*200)</f>
        <v>0</v>
      </c>
      <c r="J29" s="14">
        <f>C29*1050+E29*114.8+G29*70.6+(COUNT(C29:C29)*D29*28+COUNT(E29:E29)*F29*2.8+COUNT(G29:G29)*H29*1.68)</f>
        <v>0</v>
      </c>
      <c r="L29" s="7"/>
      <c r="M29" s="72"/>
      <c r="T29" s="185" t="s">
        <v>105</v>
      </c>
      <c r="U29" s="102"/>
      <c r="V29" s="186" t="s">
        <v>132</v>
      </c>
      <c r="W29" s="233"/>
      <c r="X29" s="208" t="s">
        <v>135</v>
      </c>
      <c r="Y29" s="212" t="s">
        <v>19</v>
      </c>
      <c r="Z29" s="214">
        <f>ROUNDDOWN((W29*1200*IF(W29=1,1,3/3.3)),-1)</f>
        <v>0</v>
      </c>
    </row>
    <row r="30" spans="2:26" ht="14.25" thickBot="1">
      <c r="B30" s="198" t="s">
        <v>2</v>
      </c>
      <c r="C30" s="199"/>
      <c r="D30" s="200"/>
      <c r="E30" s="199"/>
      <c r="F30" s="200"/>
      <c r="G30" s="199"/>
      <c r="H30" s="201"/>
      <c r="I30" s="202">
        <f>ROUNDDOWN((C30*1200*IF(C30=1,1,3/3.3)),-1)+E30*300+G30*200</f>
        <v>0</v>
      </c>
      <c r="J30" s="203">
        <f>C30*1130+E30*114.8+G30*70.6</f>
        <v>0</v>
      </c>
      <c r="L30" s="7"/>
      <c r="M30" s="72"/>
      <c r="O30" s="98" t="s">
        <v>83</v>
      </c>
      <c r="P30" s="101"/>
      <c r="Q30" s="179"/>
      <c r="R30" s="179"/>
      <c r="V30" s="196"/>
      <c r="W30" s="2"/>
      <c r="X30" s="210" t="s">
        <v>134</v>
      </c>
      <c r="Y30" s="213" t="s">
        <v>20</v>
      </c>
      <c r="Z30" s="211">
        <f>SUM(Z14:Z28,X14:X28,Z29)</f>
        <v>0</v>
      </c>
    </row>
    <row r="31" spans="2:26" ht="14.25" thickBot="1">
      <c r="B31" s="207" t="s">
        <v>129</v>
      </c>
      <c r="C31" s="233" t="s">
        <v>35</v>
      </c>
      <c r="D31" s="234"/>
      <c r="E31" s="235" t="s">
        <v>119</v>
      </c>
      <c r="F31" s="230"/>
      <c r="G31" s="231"/>
      <c r="H31" s="232"/>
      <c r="I31" s="206">
        <f>ROUNDDOWN((D31*1200*IF(D31=1,1,3/3.3)),-1)</f>
        <v>0</v>
      </c>
      <c r="J31" s="194">
        <f>D31*523</f>
        <v>0</v>
      </c>
      <c r="L31" s="7"/>
      <c r="M31" s="72"/>
      <c r="O31" s="4" t="s">
        <v>56</v>
      </c>
      <c r="P31" s="8" t="s">
        <v>35</v>
      </c>
      <c r="Q31" s="69" t="s">
        <v>125</v>
      </c>
      <c r="R31" s="69" t="s">
        <v>126</v>
      </c>
      <c r="T31" s="118" t="s">
        <v>28</v>
      </c>
      <c r="U31" s="111"/>
      <c r="X31" s="117"/>
      <c r="Y31" s="117"/>
      <c r="Z31" s="117"/>
    </row>
    <row r="32" spans="2:26" ht="14.25" thickBot="1">
      <c r="B32" s="195"/>
      <c r="C32" s="2"/>
      <c r="D32" s="2"/>
      <c r="E32" s="2"/>
      <c r="F32" s="2"/>
      <c r="G32" s="2"/>
      <c r="H32" s="204" t="s">
        <v>133</v>
      </c>
      <c r="I32" s="205">
        <f>SUM(I10:I31)</f>
        <v>0</v>
      </c>
      <c r="J32" s="131">
        <f>SUM(J10:J31)</f>
        <v>0</v>
      </c>
      <c r="M32" s="72"/>
      <c r="O32" s="18" t="s">
        <v>31</v>
      </c>
      <c r="P32" s="18">
        <v>2</v>
      </c>
      <c r="Q32" s="18">
        <f>Q30*600*P32</f>
        <v>0</v>
      </c>
      <c r="R32" s="18">
        <f>R30*400*P32</f>
        <v>0</v>
      </c>
      <c r="T32" s="3" t="s">
        <v>106</v>
      </c>
      <c r="U32" s="3"/>
      <c r="X32" s="3" t="s">
        <v>107</v>
      </c>
      <c r="Y32" s="3"/>
      <c r="Z32" s="3"/>
    </row>
    <row r="33" spans="1:24" ht="13.5">
      <c r="A33" s="2"/>
      <c r="B33" s="56" t="s">
        <v>92</v>
      </c>
      <c r="O33" s="57" t="s">
        <v>95</v>
      </c>
      <c r="P33" s="57">
        <v>1</v>
      </c>
      <c r="Q33" s="110">
        <f>Q30*850*P33</f>
        <v>0</v>
      </c>
      <c r="R33" s="110">
        <f>R30*600*P33</f>
        <v>0</v>
      </c>
      <c r="T33" t="s">
        <v>114</v>
      </c>
      <c r="X33" t="s">
        <v>115</v>
      </c>
    </row>
    <row r="34" spans="2:24" ht="13.5">
      <c r="B34" t="s">
        <v>60</v>
      </c>
      <c r="O34" s="16" t="s">
        <v>1</v>
      </c>
      <c r="P34" s="16">
        <v>1</v>
      </c>
      <c r="Q34" s="151">
        <f>Q30*600*P34</f>
        <v>0</v>
      </c>
      <c r="R34" s="151">
        <f>R30*400*P34</f>
        <v>0</v>
      </c>
      <c r="T34" t="s">
        <v>108</v>
      </c>
      <c r="X34" t="s">
        <v>109</v>
      </c>
    </row>
    <row r="35" spans="2:24" ht="13.5">
      <c r="B35" t="s">
        <v>59</v>
      </c>
      <c r="O35" s="14" t="s">
        <v>32</v>
      </c>
      <c r="P35" s="14">
        <v>1</v>
      </c>
      <c r="Q35" s="18">
        <f>Q30*600*P35</f>
        <v>0</v>
      </c>
      <c r="R35" s="18">
        <f>R30*400*P35</f>
        <v>0</v>
      </c>
      <c r="T35" t="s">
        <v>112</v>
      </c>
      <c r="X35" t="s">
        <v>110</v>
      </c>
    </row>
    <row r="36" spans="6:24" ht="14.25" thickBot="1">
      <c r="F36" s="109"/>
      <c r="O36" s="20" t="s">
        <v>130</v>
      </c>
      <c r="P36" s="20">
        <v>1</v>
      </c>
      <c r="Q36" s="19">
        <f>Q30*1200*P36</f>
        <v>0</v>
      </c>
      <c r="R36" s="19">
        <f>R30*1200*P36</f>
        <v>0</v>
      </c>
      <c r="T36" t="s">
        <v>111</v>
      </c>
      <c r="X36" t="s">
        <v>110</v>
      </c>
    </row>
    <row r="37" spans="2:24" ht="14.25" thickBot="1">
      <c r="B37" s="4" t="s">
        <v>7</v>
      </c>
      <c r="C37" s="4" t="s">
        <v>28</v>
      </c>
      <c r="D37" s="267" t="s">
        <v>9</v>
      </c>
      <c r="E37" s="268"/>
      <c r="F37" s="269" t="s">
        <v>45</v>
      </c>
      <c r="G37" s="268"/>
      <c r="H37" s="269" t="s">
        <v>42</v>
      </c>
      <c r="I37" s="270"/>
      <c r="J37" s="8" t="s">
        <v>136</v>
      </c>
      <c r="O37" s="147"/>
      <c r="P37" s="6" t="s">
        <v>20</v>
      </c>
      <c r="Q37" s="10">
        <f>SUM(Q32:Q36)</f>
        <v>0</v>
      </c>
      <c r="R37" s="10">
        <f>SUM(R32:R36)</f>
        <v>0</v>
      </c>
      <c r="T37" t="s">
        <v>113</v>
      </c>
      <c r="X37" t="s">
        <v>110</v>
      </c>
    </row>
    <row r="38" spans="2:18" ht="14.25" thickBot="1">
      <c r="B38" s="19" t="s">
        <v>10</v>
      </c>
      <c r="C38" s="86"/>
      <c r="D38" s="236"/>
      <c r="E38" s="176">
        <v>60</v>
      </c>
      <c r="F38" s="237"/>
      <c r="G38" s="176"/>
      <c r="H38" s="238"/>
      <c r="I38" s="177"/>
      <c r="J38" s="65">
        <f>IF(C38=1,580,0)+IF(C38=2,700,0)+IF(C38=3,970,0)+IF(C38=5,1000,0)+IF(C38=6,1280,0)+IF(E38=80,70,0)+IF(E38=100,170,0)+IF(G38=1,390,0)+IF(I38=1,1,0)*IF(E38=60,220,1)*IF(E38=80,350,1)*IF(E38=100,660,1)</f>
        <v>0</v>
      </c>
      <c r="O38" s="266" t="s">
        <v>28</v>
      </c>
      <c r="P38" s="261"/>
      <c r="Q38" s="8" t="s">
        <v>10</v>
      </c>
      <c r="R38" s="69" t="s">
        <v>11</v>
      </c>
    </row>
    <row r="39" spans="2:10" ht="14.25" thickBot="1">
      <c r="B39" s="14" t="s">
        <v>13</v>
      </c>
      <c r="C39" s="87"/>
      <c r="D39" s="239"/>
      <c r="E39" s="240"/>
      <c r="F39" s="241"/>
      <c r="G39" s="178"/>
      <c r="H39" s="74"/>
      <c r="I39" s="242"/>
      <c r="J39" s="66">
        <f>(C39*140+IF(G39=1,390,0))*IF(C39=1,1,0)</f>
        <v>0</v>
      </c>
    </row>
    <row r="40" spans="2:18" ht="14.25" thickBot="1">
      <c r="B40" s="14" t="s">
        <v>14</v>
      </c>
      <c r="C40" s="87"/>
      <c r="D40" s="239"/>
      <c r="E40" s="240"/>
      <c r="F40" s="243"/>
      <c r="G40" s="178"/>
      <c r="H40" s="74"/>
      <c r="I40" s="242"/>
      <c r="J40" s="66">
        <f>(C40*205+IF(G40=1,390,0))*IF(C40=1,1,0)</f>
        <v>0</v>
      </c>
      <c r="O40" s="98" t="s">
        <v>84</v>
      </c>
      <c r="P40" s="101"/>
      <c r="Q40" s="179"/>
      <c r="R40" s="179"/>
    </row>
    <row r="41" spans="2:18" ht="14.25" thickBot="1">
      <c r="B41" s="14" t="s">
        <v>15</v>
      </c>
      <c r="C41" s="87"/>
      <c r="D41" s="239"/>
      <c r="E41" s="240"/>
      <c r="F41" s="241"/>
      <c r="G41" s="178"/>
      <c r="H41" s="74"/>
      <c r="I41" s="242"/>
      <c r="J41" s="66">
        <f>(C41*250+IF(G41=1,390,0))*IF(C41=1,1,0)</f>
        <v>0</v>
      </c>
      <c r="O41" s="4" t="s">
        <v>56</v>
      </c>
      <c r="P41" s="8" t="s">
        <v>35</v>
      </c>
      <c r="Q41" s="69" t="s">
        <v>125</v>
      </c>
      <c r="R41" s="69" t="s">
        <v>126</v>
      </c>
    </row>
    <row r="42" spans="2:18" ht="13.5">
      <c r="B42" s="14" t="s">
        <v>16</v>
      </c>
      <c r="C42" s="87"/>
      <c r="D42" s="239"/>
      <c r="E42" s="240"/>
      <c r="F42" s="243"/>
      <c r="G42" s="178"/>
      <c r="H42" s="74"/>
      <c r="I42" s="242"/>
      <c r="J42" s="66">
        <f>(C42*400+IF(G42=1,390,0))*IF(C42=1,1,0)</f>
        <v>0</v>
      </c>
      <c r="O42" s="14" t="s">
        <v>33</v>
      </c>
      <c r="P42" s="18">
        <v>1</v>
      </c>
      <c r="Q42" s="128">
        <f>Q40*600*P42</f>
        <v>0</v>
      </c>
      <c r="R42" s="12">
        <f>R40*400*P42</f>
        <v>0</v>
      </c>
    </row>
    <row r="43" spans="2:18" ht="13.5">
      <c r="B43" s="14" t="s">
        <v>17</v>
      </c>
      <c r="C43" s="87"/>
      <c r="D43" s="239"/>
      <c r="E43" s="240"/>
      <c r="F43" s="241"/>
      <c r="G43" s="178"/>
      <c r="H43" s="74"/>
      <c r="I43" s="242"/>
      <c r="J43" s="66">
        <f>(C43*600+IF(G43=1,390,0))*IF(C43=1,1,0)</f>
        <v>0</v>
      </c>
      <c r="O43" s="120" t="s">
        <v>117</v>
      </c>
      <c r="P43" s="120">
        <v>1</v>
      </c>
      <c r="Q43" s="120">
        <f>Q40*850*P43</f>
        <v>0</v>
      </c>
      <c r="R43" s="18">
        <f>R40*600*P43</f>
        <v>0</v>
      </c>
    </row>
    <row r="44" spans="2:18" ht="13.5">
      <c r="B44" s="14" t="s">
        <v>18</v>
      </c>
      <c r="C44" s="87"/>
      <c r="D44" s="244"/>
      <c r="E44" s="245"/>
      <c r="F44" s="243"/>
      <c r="G44" s="178"/>
      <c r="H44" s="246"/>
      <c r="I44" s="247"/>
      <c r="J44" s="66">
        <f>(C44*870+IF(G44=1,390,0))*IF(C44=1,1,0)</f>
        <v>0</v>
      </c>
      <c r="O44" s="14" t="s">
        <v>34</v>
      </c>
      <c r="P44" s="14">
        <v>1</v>
      </c>
      <c r="Q44" s="128">
        <f>Q40*600*P44</f>
        <v>0</v>
      </c>
      <c r="R44" s="18">
        <f>R40*400*P44</f>
        <v>0</v>
      </c>
    </row>
    <row r="45" spans="2:18" ht="13.5">
      <c r="B45" s="15" t="s">
        <v>11</v>
      </c>
      <c r="C45" s="73"/>
      <c r="D45" s="74"/>
      <c r="E45" s="74"/>
      <c r="F45" s="74"/>
      <c r="G45" s="74"/>
      <c r="H45" s="74"/>
      <c r="I45" s="242"/>
      <c r="J45" s="63">
        <f>C45*360*IF(C45=1,1,0)</f>
        <v>0</v>
      </c>
      <c r="O45" s="16" t="s">
        <v>1</v>
      </c>
      <c r="P45" s="16">
        <v>1</v>
      </c>
      <c r="Q45" s="152">
        <f>Q40*600*P45</f>
        <v>0</v>
      </c>
      <c r="R45" s="151">
        <f>R40*400*P45</f>
        <v>0</v>
      </c>
    </row>
    <row r="46" spans="2:18" ht="13.5">
      <c r="B46" s="31" t="s">
        <v>12</v>
      </c>
      <c r="C46" s="88"/>
      <c r="D46" s="74"/>
      <c r="E46" s="74"/>
      <c r="F46" s="74"/>
      <c r="G46" s="74"/>
      <c r="H46" s="74"/>
      <c r="I46" s="242"/>
      <c r="J46" s="67">
        <f>C46*510*IF(C46=1,1,0)</f>
        <v>0</v>
      </c>
      <c r="O46" s="14" t="s">
        <v>32</v>
      </c>
      <c r="P46" s="14">
        <v>1</v>
      </c>
      <c r="Q46" s="128">
        <f>Q40*600*P46</f>
        <v>0</v>
      </c>
      <c r="R46" s="18">
        <f>R40*400*P46</f>
        <v>0</v>
      </c>
    </row>
    <row r="47" spans="2:18" ht="14.25" thickBot="1">
      <c r="B47" s="32" t="s">
        <v>137</v>
      </c>
      <c r="C47" s="89"/>
      <c r="D47" s="248"/>
      <c r="E47" s="249"/>
      <c r="F47" s="249"/>
      <c r="G47" s="249"/>
      <c r="H47" s="249"/>
      <c r="I47" s="250"/>
      <c r="J47" s="68">
        <f>C47*350*IF(C47=1,1,0)</f>
        <v>0</v>
      </c>
      <c r="O47" s="17" t="s">
        <v>131</v>
      </c>
      <c r="P47" s="20">
        <v>1</v>
      </c>
      <c r="Q47" s="130">
        <f>Q40*1200*P47</f>
        <v>0</v>
      </c>
      <c r="R47" s="17">
        <f>R40*1200*P47</f>
        <v>0</v>
      </c>
    </row>
    <row r="48" spans="3:18" ht="14.25" thickBot="1">
      <c r="C48" s="7"/>
      <c r="D48" s="7"/>
      <c r="H48" s="260" t="s">
        <v>49</v>
      </c>
      <c r="I48" s="261"/>
      <c r="J48" s="64">
        <f>SUM(J38:J47)</f>
        <v>0</v>
      </c>
      <c r="O48" s="147"/>
      <c r="P48" s="6" t="s">
        <v>20</v>
      </c>
      <c r="Q48" s="10">
        <f>SUM(Q42:Q47)</f>
        <v>0</v>
      </c>
      <c r="R48" s="10">
        <f>SUM(R42:R47)</f>
        <v>0</v>
      </c>
    </row>
    <row r="49" spans="2:18" ht="14.25" thickBot="1">
      <c r="B49" s="27" t="s">
        <v>46</v>
      </c>
      <c r="C49" s="27" t="s">
        <v>8</v>
      </c>
      <c r="D49" s="71"/>
      <c r="O49" s="147" t="s">
        <v>28</v>
      </c>
      <c r="P49" s="148"/>
      <c r="Q49" s="8" t="s">
        <v>10</v>
      </c>
      <c r="R49" s="69" t="s">
        <v>11</v>
      </c>
    </row>
    <row r="50" spans="2:10" ht="14.25" thickBot="1">
      <c r="B50" s="28" t="s">
        <v>21</v>
      </c>
      <c r="C50" s="60">
        <v>1</v>
      </c>
      <c r="D50" s="71"/>
      <c r="E50" s="33" t="s">
        <v>40</v>
      </c>
      <c r="F50" s="34"/>
      <c r="G50" s="34"/>
      <c r="H50" s="34"/>
      <c r="I50" s="34"/>
      <c r="J50" s="35"/>
    </row>
    <row r="51" spans="2:18" ht="14.25" thickBot="1">
      <c r="B51" s="29" t="s">
        <v>22</v>
      </c>
      <c r="C51" s="61">
        <v>1</v>
      </c>
      <c r="D51" s="71"/>
      <c r="E51" s="36" t="s">
        <v>41</v>
      </c>
      <c r="F51" s="37"/>
      <c r="G51" s="37"/>
      <c r="H51" s="37"/>
      <c r="I51" s="37"/>
      <c r="J51" s="38"/>
      <c r="O51" s="98" t="s">
        <v>36</v>
      </c>
      <c r="P51" s="102"/>
      <c r="Q51" s="102"/>
      <c r="R51" s="5"/>
    </row>
    <row r="52" spans="2:22" ht="13.5">
      <c r="B52" s="29" t="s">
        <v>23</v>
      </c>
      <c r="C52" s="61">
        <v>2</v>
      </c>
      <c r="D52" s="71"/>
      <c r="E52" s="26" t="s">
        <v>51</v>
      </c>
      <c r="F52" s="39"/>
      <c r="G52" s="39"/>
      <c r="H52" s="39"/>
      <c r="I52" s="39"/>
      <c r="J52" s="25"/>
      <c r="O52" s="132"/>
      <c r="P52" s="136" t="s">
        <v>118</v>
      </c>
      <c r="Q52" s="133">
        <f>Q9*P15+R9*P15+Q19*P26+R19*P26+Q30*P36+R30*P36+Q40*P47+R40*P47</f>
        <v>0</v>
      </c>
      <c r="R52" s="134" t="s">
        <v>119</v>
      </c>
      <c r="V52" s="149"/>
    </row>
    <row r="53" spans="2:18" ht="13.5">
      <c r="B53" s="29" t="s">
        <v>24</v>
      </c>
      <c r="C53" s="61">
        <v>3</v>
      </c>
      <c r="D53" s="71"/>
      <c r="E53" s="21" t="s">
        <v>45</v>
      </c>
      <c r="F53" s="22"/>
      <c r="G53" s="22"/>
      <c r="H53" s="22"/>
      <c r="I53" s="22" t="s">
        <v>44</v>
      </c>
      <c r="J53" s="23" t="s">
        <v>52</v>
      </c>
      <c r="O53" s="262" t="s">
        <v>38</v>
      </c>
      <c r="P53" s="263"/>
      <c r="Q53" s="24">
        <f>Q52*1200-ROUNDDOWN((Q52*1200*IF(Q52=1,1,3/3.3)),-1)</f>
        <v>0</v>
      </c>
      <c r="R53" s="135" t="s">
        <v>37</v>
      </c>
    </row>
    <row r="54" spans="2:18" ht="14.25" thickBot="1">
      <c r="B54" s="29" t="s">
        <v>25</v>
      </c>
      <c r="C54" s="61">
        <v>5</v>
      </c>
      <c r="D54" s="71"/>
      <c r="E54" s="21" t="s">
        <v>43</v>
      </c>
      <c r="F54" s="22"/>
      <c r="G54" s="22"/>
      <c r="H54" s="22"/>
      <c r="I54" s="22" t="s">
        <v>44</v>
      </c>
      <c r="J54" s="22" t="s">
        <v>53</v>
      </c>
      <c r="K54" s="23"/>
      <c r="L54" s="23"/>
      <c r="O54" s="264" t="s">
        <v>39</v>
      </c>
      <c r="P54" s="265"/>
      <c r="Q54" s="109">
        <f>ROUNDDOWN(((Q52)*1200*IF((Q52)=1,1,3/3.3)),-1)</f>
        <v>0</v>
      </c>
      <c r="R54" s="131" t="s">
        <v>37</v>
      </c>
    </row>
    <row r="55" spans="2:12" ht="14.25" thickBot="1">
      <c r="B55" s="30" t="s">
        <v>26</v>
      </c>
      <c r="C55" s="62">
        <v>6</v>
      </c>
      <c r="D55" s="71"/>
      <c r="E55" s="43" t="s">
        <v>54</v>
      </c>
      <c r="F55" s="44"/>
      <c r="G55" s="44"/>
      <c r="H55" s="44"/>
      <c r="I55" s="44"/>
      <c r="J55" s="44"/>
      <c r="K55" s="44"/>
      <c r="L55" s="45"/>
    </row>
    <row r="56" spans="5:12" ht="13.5">
      <c r="E56" s="40" t="s">
        <v>138</v>
      </c>
      <c r="F56" s="41"/>
      <c r="G56" s="41"/>
      <c r="H56" s="41"/>
      <c r="I56" s="41"/>
      <c r="J56" s="41"/>
      <c r="K56" s="41"/>
      <c r="L56" s="42"/>
    </row>
    <row r="57" spans="2:6" ht="18" thickBot="1">
      <c r="B57" s="47" t="s">
        <v>47</v>
      </c>
      <c r="C57" s="48"/>
      <c r="D57" s="48"/>
      <c r="E57" s="48"/>
      <c r="F57" s="48"/>
    </row>
    <row r="58" spans="2:6" ht="17.25">
      <c r="B58" s="49" t="s">
        <v>48</v>
      </c>
      <c r="C58" s="104">
        <f>I32+Q16+Q27+Q37+Q48+R16+R27+R37+R48-Q53+Z30</f>
        <v>0</v>
      </c>
      <c r="D58" s="50" t="s">
        <v>37</v>
      </c>
      <c r="E58" s="52"/>
      <c r="F58" s="52"/>
    </row>
    <row r="59" spans="2:6" ht="18" thickBot="1">
      <c r="B59" s="51" t="s">
        <v>49</v>
      </c>
      <c r="C59" s="105">
        <f>J48</f>
        <v>0</v>
      </c>
      <c r="D59" s="107" t="s">
        <v>37</v>
      </c>
      <c r="E59" s="52"/>
      <c r="F59" s="52"/>
    </row>
    <row r="60" spans="2:6" ht="18" thickBot="1">
      <c r="B60" s="53" t="s">
        <v>50</v>
      </c>
      <c r="C60" s="106">
        <f>SUM(C58:C59)</f>
        <v>0</v>
      </c>
      <c r="D60" s="54" t="s">
        <v>37</v>
      </c>
      <c r="E60" s="52"/>
      <c r="F60" s="52"/>
    </row>
  </sheetData>
  <sheetProtection sheet="1" objects="1" scenarios="1" formatCells="0"/>
  <mergeCells count="9">
    <mergeCell ref="D37:E37"/>
    <mergeCell ref="F37:G37"/>
    <mergeCell ref="H37:I37"/>
    <mergeCell ref="O38:P38"/>
    <mergeCell ref="H48:I48"/>
    <mergeCell ref="O53:P53"/>
    <mergeCell ref="O54:P54"/>
    <mergeCell ref="O17:P17"/>
    <mergeCell ref="O28:P28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kinbara</cp:lastModifiedBy>
  <dcterms:created xsi:type="dcterms:W3CDTF">2006-09-13T11:12:02Z</dcterms:created>
  <dcterms:modified xsi:type="dcterms:W3CDTF">2016-12-02T12:57:18Z</dcterms:modified>
  <cp:category/>
  <cp:version/>
  <cp:contentType/>
  <cp:contentStatus/>
</cp:coreProperties>
</file>